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showInkAnnotation="0" autoCompressPictures="0"/>
  <xr:revisionPtr revIDLastSave="0" documentId="13_ncr:1_{5A65F796-AC78-44D6-B99A-9418D110BE55}" xr6:coauthVersionLast="47" xr6:coauthVersionMax="47" xr10:uidLastSave="{00000000-0000-0000-0000-000000000000}"/>
  <bookViews>
    <workbookView xWindow="-120" yWindow="-120" windowWidth="29040" windowHeight="17790" activeTab="2" xr2:uid="{00000000-000D-0000-FFFF-FFFF00000000}"/>
  </bookViews>
  <sheets>
    <sheet name="Kalkulation Leerrohr" sheetId="4" r:id="rId1"/>
    <sheet name="Kalkulation Glasfaser" sheetId="6" r:id="rId2"/>
    <sheet name="Kalkulation Kollokationsfläche" sheetId="5" r:id="rId3"/>
    <sheet name="Kalkulation Mitbenutzung" sheetId="7" r:id="rId4"/>
  </sheets>
  <definedNames>
    <definedName name="_xlnm.Print_Area" localSheetId="1">'Kalkulation Glasfaser'!$A$7:$H$91</definedName>
    <definedName name="_xlnm.Print_Area" localSheetId="2">'Kalkulation Kollokationsfläche'!$A$7:$G$15</definedName>
    <definedName name="_xlnm.Print_Area" localSheetId="0">'Kalkulation Leerrohr'!$A$7:$H$53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25" i="7" l="1"/>
  <c r="F124" i="7"/>
  <c r="F130" i="7" s="1"/>
  <c r="I123" i="7"/>
  <c r="I122" i="7"/>
  <c r="D115" i="7"/>
  <c r="F113" i="7"/>
  <c r="I113" i="7" s="1"/>
  <c r="D113" i="7"/>
  <c r="D104" i="7"/>
  <c r="D101" i="7" s="1"/>
  <c r="F103" i="7"/>
  <c r="I103" i="7" s="1"/>
  <c r="D103" i="7"/>
  <c r="I94" i="7"/>
  <c r="I84" i="7"/>
  <c r="F83" i="7"/>
  <c r="I83" i="7" s="1"/>
  <c r="I82" i="7"/>
  <c r="I81" i="7"/>
  <c r="D74" i="7"/>
  <c r="F73" i="7"/>
  <c r="I73" i="7" s="1"/>
  <c r="D73" i="7"/>
  <c r="I64" i="7"/>
  <c r="I52" i="7"/>
  <c r="F51" i="7"/>
  <c r="F58" i="7" s="1"/>
  <c r="I50" i="7"/>
  <c r="I49" i="7"/>
  <c r="I45" i="7"/>
  <c r="I44" i="7"/>
  <c r="I43" i="7"/>
  <c r="I38" i="7"/>
  <c r="I37" i="7"/>
  <c r="I36" i="7"/>
  <c r="I35" i="7"/>
  <c r="I34" i="7"/>
  <c r="I33" i="7"/>
  <c r="I32" i="7"/>
  <c r="I31" i="7"/>
  <c r="I29" i="7"/>
  <c r="I26" i="7"/>
  <c r="I25" i="7"/>
  <c r="I24" i="7"/>
  <c r="I23" i="7"/>
  <c r="I20" i="7"/>
  <c r="I19" i="7"/>
  <c r="I18" i="7"/>
  <c r="I15" i="7"/>
  <c r="I14" i="7"/>
  <c r="I13" i="7"/>
  <c r="I12" i="7"/>
  <c r="I3" i="7"/>
  <c r="D102" i="7" l="1"/>
  <c r="F126" i="7"/>
  <c r="F129" i="7" s="1"/>
  <c r="F53" i="7"/>
  <c r="F55" i="7" s="1"/>
  <c r="I51" i="7"/>
  <c r="F57" i="7"/>
  <c r="F85" i="7"/>
  <c r="J115" i="7"/>
  <c r="J116" i="7"/>
  <c r="I124" i="7"/>
  <c r="I117" i="7"/>
  <c r="F89" i="7"/>
  <c r="J117" i="7"/>
  <c r="D146" i="7"/>
  <c r="F128" i="7" l="1"/>
  <c r="F56" i="7"/>
  <c r="F59" i="7" s="1"/>
  <c r="F66" i="7" s="1"/>
  <c r="F71" i="7" s="1"/>
  <c r="F88" i="7"/>
  <c r="F87" i="7"/>
  <c r="D72" i="7" l="1"/>
  <c r="D80" i="7"/>
  <c r="D71" i="7"/>
  <c r="F72" i="7"/>
  <c r="I72" i="7" s="1"/>
  <c r="F80" i="7"/>
  <c r="F74" i="7"/>
  <c r="I74" i="7" s="1"/>
  <c r="I71" i="7"/>
  <c r="F90" i="7" l="1"/>
  <c r="F96" i="7" s="1"/>
  <c r="F102" i="7" l="1"/>
  <c r="I102" i="7" s="1"/>
  <c r="F101" i="7"/>
  <c r="F110" i="7" s="1"/>
  <c r="I110" i="7" s="1"/>
  <c r="F114" i="7"/>
  <c r="I114" i="7" s="1"/>
  <c r="F111" i="7"/>
  <c r="I111" i="7" s="1"/>
  <c r="D111" i="7"/>
  <c r="D121" i="7"/>
  <c r="D114" i="7"/>
  <c r="D109" i="7"/>
  <c r="D110" i="7"/>
  <c r="I101" i="7" l="1"/>
  <c r="F112" i="7"/>
  <c r="I112" i="7" s="1"/>
  <c r="D112" i="7"/>
  <c r="F104" i="7"/>
  <c r="I104" i="7" s="1"/>
  <c r="F109" i="7"/>
  <c r="F115" i="7" s="1"/>
  <c r="I115" i="7" s="1"/>
  <c r="I109" i="7"/>
  <c r="F121" i="7" l="1"/>
  <c r="F131" i="7" s="1"/>
  <c r="F137" i="7" s="1"/>
  <c r="F143" i="7" s="1"/>
  <c r="I143" i="7" s="1"/>
  <c r="D145" i="7"/>
  <c r="D143" i="7" l="1"/>
  <c r="D142" i="7"/>
  <c r="F144" i="7"/>
  <c r="F142" i="7"/>
  <c r="I142" i="7" s="1"/>
  <c r="F145" i="7"/>
  <c r="I145" i="7" s="1"/>
  <c r="D144" i="7"/>
  <c r="I144" i="7"/>
  <c r="B6" i="7"/>
  <c r="F146" i="7"/>
  <c r="I146" i="7" s="1"/>
  <c r="G38" i="6" l="1"/>
  <c r="G37" i="6"/>
  <c r="G32" i="6"/>
  <c r="G19" i="6"/>
  <c r="G17" i="6"/>
  <c r="G16" i="6"/>
  <c r="G12" i="6"/>
  <c r="G51" i="6" s="1"/>
  <c r="G11" i="6"/>
  <c r="G10" i="6"/>
  <c r="G67" i="6" s="1"/>
  <c r="G9" i="6"/>
  <c r="G23" i="6" s="1"/>
  <c r="G65" i="6" s="1"/>
  <c r="G15" i="5"/>
  <c r="E15" i="5"/>
  <c r="G82" i="6"/>
  <c r="E65" i="6"/>
  <c r="E66" i="6" s="1"/>
  <c r="E68" i="6" s="1"/>
  <c r="E64" i="6"/>
  <c r="G60" i="6"/>
  <c r="G62" i="6" s="1"/>
  <c r="E44" i="6"/>
  <c r="G39" i="6"/>
  <c r="E24" i="6"/>
  <c r="E22" i="6"/>
  <c r="E27" i="6" s="1"/>
  <c r="G40" i="6" l="1"/>
  <c r="G18" i="6"/>
  <c r="G20" i="6" s="1"/>
  <c r="G89" i="6"/>
  <c r="E76" i="6"/>
  <c r="E84" i="6" s="1"/>
  <c r="G66" i="6"/>
  <c r="G64" i="6"/>
  <c r="G39" i="4"/>
  <c r="G40" i="4" s="1"/>
  <c r="G51" i="4"/>
  <c r="G18" i="4"/>
  <c r="G20" i="4" s="1"/>
  <c r="G22" i="4" s="1"/>
  <c r="G23" i="4"/>
  <c r="E22" i="4"/>
  <c r="E24" i="4"/>
  <c r="E44" i="4"/>
  <c r="E27" i="4" l="1"/>
  <c r="G24" i="4"/>
  <c r="G26" i="4"/>
  <c r="G25" i="4"/>
  <c r="G25" i="6"/>
  <c r="G22" i="6"/>
  <c r="G24" i="6"/>
  <c r="G26" i="6"/>
  <c r="G68" i="6"/>
  <c r="G74" i="6" s="1"/>
  <c r="G27" i="4" l="1"/>
  <c r="G34" i="4" s="1"/>
  <c r="G44" i="4" s="1"/>
  <c r="G50" i="4" s="1"/>
  <c r="G52" i="4" s="1"/>
  <c r="G27" i="6"/>
  <c r="G34" i="6" s="1"/>
  <c r="G44" i="6" s="1"/>
  <c r="G76" i="6" s="1"/>
  <c r="G84" i="6" s="1"/>
  <c r="G88" i="6" s="1"/>
  <c r="G90" i="6" s="1"/>
  <c r="G91" i="6" s="1"/>
  <c r="G50" i="6"/>
  <c r="G52" i="6" s="1"/>
</calcChain>
</file>

<file path=xl/sharedStrings.xml><?xml version="1.0" encoding="utf-8"?>
<sst xmlns="http://schemas.openxmlformats.org/spreadsheetml/2006/main" count="412" uniqueCount="184">
  <si>
    <t>Gesamtkosten p.a.</t>
  </si>
  <si>
    <t>Nutzungsdauer (ND) in Jahren</t>
  </si>
  <si>
    <t>Bewertung zu Wiederbeschaffungswerten</t>
  </si>
  <si>
    <t>Kapitalkostenzinssatz (WACC) auf das durchschnittlich gebundene Kapital (Nachweis für die Höhe des WACC ist beizubringen)</t>
  </si>
  <si>
    <t>Anmerkungen:</t>
  </si>
  <si>
    <t>Wartung &amp; Instandhaltung p.a.</t>
  </si>
  <si>
    <t>wirtschaftliche Nutzungsdauer</t>
  </si>
  <si>
    <t>[Abschreibung p.a.]</t>
  </si>
  <si>
    <t>(Wird errechnet)</t>
  </si>
  <si>
    <t>[Kapitalkosten p.a.]</t>
  </si>
  <si>
    <t>Kapitalkostenzinssatz</t>
  </si>
  <si>
    <t>LWL-Kabel inkl Verlegung</t>
  </si>
  <si>
    <t>einmalig zum Zeitpunkt der Anfangsinvestition. (Diese Kosten werden in Folge wie die Herstellungskosten über die ND verteilt)</t>
  </si>
  <si>
    <t>Kapitalkostenzinssatz (WACC) wie oben</t>
  </si>
  <si>
    <t>Diese Kostenart könnte alternativ auch gesamthaft für alle Positionen und/oder für die gesamte Strecke ausgewiesen werden</t>
  </si>
  <si>
    <t>Nutzungsdauer (ND) in Jahren [wird möglicherweise von baulicher Infrastruktur abweichen]</t>
  </si>
  <si>
    <t>Wartung&amp;Instandhaltung</t>
  </si>
  <si>
    <t>Kalkulation Strecke Wagramer str. 19 - Heiligenstädter Lände 27C</t>
  </si>
  <si>
    <t>Akquisitionskosten p.a.</t>
  </si>
  <si>
    <t>Kostenkalkulation Standardangebot Leerrohr</t>
  </si>
  <si>
    <t>Investitionskosten exklusive Förderung</t>
  </si>
  <si>
    <t>Investitionskosten LWL ohne Förderung</t>
  </si>
  <si>
    <t>Grabungslänge Förderungsprojekt in Metern</t>
  </si>
  <si>
    <t>Kapitalkosten (WACC)</t>
  </si>
  <si>
    <t>Kostenaufteilung LWL-Kabel</t>
  </si>
  <si>
    <t xml:space="preserve">Akquisitionskosten </t>
  </si>
  <si>
    <t>Förderungsbetrag</t>
  </si>
  <si>
    <t>förderbare Investitionskosten Leerverrohrung</t>
  </si>
  <si>
    <t xml:space="preserve">Summe Investitionskosten </t>
  </si>
  <si>
    <t>Kosten / Microduct / Monat</t>
  </si>
  <si>
    <t>Kosten /  Microduct / Meter / Monat</t>
  </si>
  <si>
    <t xml:space="preserve">nicht förderbare einmalige Investitionskosten </t>
  </si>
  <si>
    <t>Investitionskosten Leerverrohrung</t>
  </si>
  <si>
    <t xml:space="preserve">Aufteilung der Investitions- und sonstigen Kosten </t>
  </si>
  <si>
    <t>Anteilige Investitionskosten Leerverrohrung und sonstige Kosten für das btr. LWL-Kabel p.a.</t>
  </si>
  <si>
    <t>Investitionskosten LWL-Kabel</t>
  </si>
  <si>
    <t>Förderbare Investitionskosten LWL</t>
  </si>
  <si>
    <t>nicht förderbare einmalige Investitionskosten LWL</t>
  </si>
  <si>
    <t>Summe Investitionskosten LWL</t>
  </si>
  <si>
    <t>Gesamte Investitionskosten Leerrohr und LWL und sonstige Kosten p.a.</t>
  </si>
  <si>
    <t>Kosten /  Faser / Monat</t>
  </si>
  <si>
    <t>Summe Investitionskosten Leerrohr und sonstige Kosten p.a.</t>
  </si>
  <si>
    <t>Kostenparameter</t>
  </si>
  <si>
    <t>Monatliche Kosten</t>
  </si>
  <si>
    <t>Sonstige laufende jährliche Kosten LWL</t>
  </si>
  <si>
    <t>Sonstige laufende jährliche Kosten Leerverrohrung</t>
  </si>
  <si>
    <t>Summe Investitionskosten LWL und sonstige Kosten p.a.</t>
  </si>
  <si>
    <t>Sonstige Kosten iZm Leerverrohrung</t>
  </si>
  <si>
    <t>Sonstige Kosten iZm LWL</t>
  </si>
  <si>
    <t>Anteilige Kosten je LWL-Faser p.a.</t>
  </si>
  <si>
    <t>Anzahl belegter Micro/Ducts (Eigennutzung, inkl Betriebsreserve)</t>
  </si>
  <si>
    <t>Anzahl bereits an Nutzungsberechtige vermieteter Micro/Ducts</t>
  </si>
  <si>
    <t xml:space="preserve">Anzahl Micro/Ducts nächste Nachfrage </t>
  </si>
  <si>
    <t>Resultierender Teiler (Micro/Ducts)</t>
  </si>
  <si>
    <t>ggf. Anzahl Kabel pro Micro/Duct</t>
  </si>
  <si>
    <t>Anzahl belegter Fasern (Eigennutzung, inkl Betriebsreserve)</t>
  </si>
  <si>
    <t>Anzahl bereits an Nutzungsberechtige vermieteter Fasern</t>
  </si>
  <si>
    <t xml:space="preserve">Faser nächste Nachfrage </t>
  </si>
  <si>
    <t>Resultierender Teiler (Fasern)</t>
  </si>
  <si>
    <t>Kosten /  Meter / Monat / Faser</t>
  </si>
  <si>
    <t>Kosten /  Meter / Monat / Faserpaar</t>
  </si>
  <si>
    <t xml:space="preserve"> </t>
  </si>
  <si>
    <r>
      <rPr>
        <b/>
        <sz val="9"/>
        <color rgb="FFFF0000"/>
        <rFont val="Arial"/>
        <family val="2"/>
      </rPr>
      <t xml:space="preserve">Hinweis Zugangspreise für nicht gefördererte Infrastrukur im Zielgebiet
</t>
    </r>
    <r>
      <rPr>
        <sz val="9"/>
        <rFont val="Arial"/>
        <family val="2"/>
      </rPr>
      <t xml:space="preserve">Der NG hat seine gesamte vorhandene zur Beantwortung einer Voranfrage geeignete Infrastruktur zu berücksichtigen, d.h. auch solche Infrastrukturanteile, die </t>
    </r>
    <r>
      <rPr>
        <b/>
        <sz val="9"/>
        <rFont val="Arial"/>
        <family val="2"/>
      </rPr>
      <t xml:space="preserve">ohne Inanspruchnahme öffentlicher Förderungen </t>
    </r>
    <r>
      <rPr>
        <sz val="9"/>
        <rFont val="Arial"/>
        <family val="2"/>
      </rPr>
      <t xml:space="preserve">errichtet wurden. Auch zu diesen ist daher grundsätzlich Zugang zu gewähren. 
Daher müssen auch entsprechende Preise für den Zugang zu nicht geförderter Infrastruktur im Standardangebot enthalten sein. Die Preise für den Zugang zu geförderten Infrastrukturen und zu nicht geförderten Infrastrukturen sind dabei </t>
    </r>
    <r>
      <rPr>
        <b/>
        <sz val="9"/>
        <rFont val="Arial"/>
        <family val="2"/>
      </rPr>
      <t>getrennt auszuweisen</t>
    </r>
    <r>
      <rPr>
        <sz val="9"/>
        <rFont val="Arial"/>
        <family val="2"/>
      </rPr>
      <t xml:space="preserve">.
Gegebenenfalls kann auch ein über die Längen gewichteter </t>
    </r>
    <r>
      <rPr>
        <b/>
        <sz val="9"/>
        <rFont val="Arial"/>
        <family val="2"/>
      </rPr>
      <t>Mischpreis</t>
    </r>
    <r>
      <rPr>
        <sz val="9"/>
        <rFont val="Arial"/>
        <family val="2"/>
      </rPr>
      <t xml:space="preserve"> angegeben werden, wenn die Berechnungsgrundlagen (Preise und Leitungslängen für geförderte und nicht geförderte Infrastrukturen) transparent dargestellt werden. 
</t>
    </r>
    <r>
      <rPr>
        <u/>
        <sz val="9"/>
        <rFont val="Arial"/>
        <family val="2"/>
      </rPr>
      <t xml:space="preserve">Preisermittlung: </t>
    </r>
    <r>
      <rPr>
        <sz val="9"/>
        <rFont val="Arial"/>
        <family val="2"/>
      </rPr>
      <t xml:space="preserve">Auch für nicht geförderte Infrastruktur ist einer Kostenkalkulation analog wie hier dargestellt vorzunehmen. Dabei ist jedoch </t>
    </r>
    <r>
      <rPr>
        <b/>
        <sz val="9"/>
        <rFont val="Arial"/>
        <family val="2"/>
      </rPr>
      <t>kein</t>
    </r>
    <r>
      <rPr>
        <sz val="9"/>
        <rFont val="Arial"/>
        <family val="2"/>
      </rPr>
      <t xml:space="preserve"> Abzug von Förderungen vorgesehen. 
</t>
    </r>
  </si>
  <si>
    <t>Anmerkung</t>
  </si>
  <si>
    <t>Länge der gesamten geförderten Infrastuktur (Neuverlegung, Mitverlegung, Mitnutzung:eigen und Mitnutzung:fremd - sofern Bestückung erfolgt), Verwenden Sie dafür die Längen aus der GIS Statistik</t>
  </si>
  <si>
    <t>Die förderbaren Plan-Gesamtinvestitionskosten (siehe eCall  "Kosten und Förderung") sind entsprechend auf Investitionskosten Leerverrohrung und Investitionskosten LWL-Kabel aufzuteilen</t>
  </si>
  <si>
    <t>Aus Gründen der Transparenz sind nicht förderbare Investitionskosten getrennt auszuweisen</t>
  </si>
  <si>
    <t>Die Summe aller Förderungen (Förderkumulierung, auch Anschlussförderungen sind zu berücksichtigen) ist entsprechend auf Förderungsbetrag Leerverrohrung und Förderungsbetrag LWL-Kabel aufzuteilen</t>
  </si>
  <si>
    <t>Diese Kosten können nur bei entsprechendem Nachweis und Erläuterung im Antrag zusätzlich angegeben werden. Beachten Sie dabei bereits berücksichtigte Kosten oberhalb (z.B. Akquisitionskosten)</t>
  </si>
  <si>
    <t>Anzahl der durchschnittlich durch den NG selbst genutzten Leerrohre (für Eigennutzung, inkl Betriebsreserve) im Förderungsgebiet.</t>
  </si>
  <si>
    <t>Anzahl der durchschnittlich vermieteten Leerrohre im Förderungsgebiet.</t>
  </si>
  <si>
    <t>Anzahl der durchschnittlich durch den NG selbst genutzten Fasern (für Eigennutzung, inkl Betriebsreserve) im Förderungsgebiet. Gegebenenfalls ist dieser Wert entsprechend anzupassen.</t>
  </si>
  <si>
    <t>Anzahl der durchschnittlich vermieteten Fasern im Förderungsgebiet. Gegebenenfalls ist dieser Wert entsprechend anzupassen.</t>
  </si>
  <si>
    <r>
      <rPr>
        <b/>
        <sz val="9"/>
        <color theme="1"/>
        <rFont val="Arial"/>
        <family val="2"/>
      </rPr>
      <t xml:space="preserve">Ausfüllinformation: </t>
    </r>
    <r>
      <rPr>
        <sz val="9"/>
        <rFont val="Arial"/>
        <family val="2"/>
      </rPr>
      <t xml:space="preserve">
Felder in der Farbe dunkelgelb sind entsprechend zu befüllen
Die eingegebenen Leerrohrwerte werden für die Glasfaserberechnung übernommen</t>
    </r>
  </si>
  <si>
    <t>betreffender Bezirk der Kollokationsfläche</t>
  </si>
  <si>
    <t>Fläche der Kollokation in m2</t>
  </si>
  <si>
    <t>Investitionskosten Kollokationsfläche</t>
  </si>
  <si>
    <t>Gesamtkosten pro Monat</t>
  </si>
  <si>
    <r>
      <rPr>
        <b/>
        <sz val="9"/>
        <color rgb="FFFF0000"/>
        <rFont val="Arial"/>
        <family val="2"/>
      </rPr>
      <t xml:space="preserve">Hinweis
</t>
    </r>
    <r>
      <rPr>
        <sz val="9"/>
        <rFont val="Arial"/>
        <family val="2"/>
      </rPr>
      <t xml:space="preserve">Die Entgelte orientieren sich grundlegend an denen des aktuellen Immobilien-Preisspiegels der WKO in der Kategorie "Büroflächen - Mieten" nach dem Zustand "Nebenlage - neuwertig".
</t>
    </r>
  </si>
  <si>
    <r>
      <t>Kostenkalkulation Standardangebot</t>
    </r>
    <r>
      <rPr>
        <b/>
        <sz val="14"/>
        <color theme="3"/>
        <rFont val="Arial"/>
        <family val="2"/>
      </rPr>
      <t xml:space="preserve"> </t>
    </r>
    <r>
      <rPr>
        <b/>
        <sz val="14"/>
        <color theme="3" tint="0.39997558519241921"/>
        <rFont val="Arial"/>
        <family val="2"/>
      </rPr>
      <t>Leerrohr</t>
    </r>
  </si>
  <si>
    <r>
      <t>Kostenkalkulation Standardangebot</t>
    </r>
    <r>
      <rPr>
        <b/>
        <sz val="14"/>
        <color theme="3"/>
        <rFont val="Arial"/>
        <family val="2"/>
      </rPr>
      <t xml:space="preserve"> </t>
    </r>
    <r>
      <rPr>
        <b/>
        <sz val="14"/>
        <color theme="5" tint="-0.249977111117893"/>
        <rFont val="Arial"/>
        <family val="2"/>
      </rPr>
      <t>Glasfaser</t>
    </r>
  </si>
  <si>
    <r>
      <t xml:space="preserve">Kostenkalkulation Standardangebot </t>
    </r>
    <r>
      <rPr>
        <b/>
        <sz val="14"/>
        <color theme="6" tint="-0.249977111117893"/>
        <rFont val="Arial"/>
        <family val="2"/>
      </rPr>
      <t>Kollokationsfläche</t>
    </r>
  </si>
  <si>
    <t>Anzahl 2 bedeutet dabei ein Faserpaar</t>
  </si>
  <si>
    <r>
      <t xml:space="preserve">Länge der gesamten Infrastuktur (Neuverlegung, Mitverlegung, Mitnutzung:eigen und Mitnutzung:fremd - sofern Bestückung erfolgt) </t>
    </r>
    <r>
      <rPr>
        <b/>
        <i/>
        <sz val="10"/>
        <color theme="1"/>
        <rFont val="Calibri"/>
        <family val="2"/>
        <scheme val="minor"/>
      </rPr>
      <t>in welcher gefördertes LWL eingebracht wird</t>
    </r>
    <r>
      <rPr>
        <i/>
        <sz val="10"/>
        <color theme="1"/>
        <rFont val="Calibri"/>
        <family val="2"/>
        <scheme val="minor"/>
      </rPr>
      <t xml:space="preserve"> - Verwenden Sie dafür die Längen aus der GIS Statistik</t>
    </r>
  </si>
  <si>
    <r>
      <rPr>
        <b/>
        <sz val="9"/>
        <color theme="1"/>
        <rFont val="Arial"/>
        <family val="2"/>
      </rPr>
      <t xml:space="preserve">Ausfüllinformation: </t>
    </r>
    <r>
      <rPr>
        <sz val="9"/>
        <rFont val="Arial"/>
        <family val="2"/>
      </rPr>
      <t xml:space="preserve">
Felder in der Farbe dunkelgelb sind entsprechend zu befüllen
Die eingegebenen Leerrohrwerte wurden übernommen und sind gegebenenfalls anzupassen</t>
    </r>
  </si>
  <si>
    <r>
      <t xml:space="preserve">Wert ist im Einzelfall </t>
    </r>
    <r>
      <rPr>
        <i/>
        <u/>
        <sz val="10"/>
        <color theme="1"/>
        <rFont val="Calibri"/>
        <family val="2"/>
        <scheme val="minor"/>
      </rPr>
      <t>begründet</t>
    </r>
    <r>
      <rPr>
        <i/>
        <sz val="10"/>
        <color theme="1"/>
        <rFont val="Calibri"/>
        <family val="2"/>
        <scheme val="minor"/>
      </rPr>
      <t xml:space="preserve"> anzupassen</t>
    </r>
  </si>
  <si>
    <t>Infrastrukturlänge Leerrohrverlegung Förderungsprojekt [m]</t>
  </si>
  <si>
    <t>Infrastrukturlänge Fasereinbringung Förderungsprojekt [m]</t>
  </si>
  <si>
    <r>
      <t xml:space="preserve">Wird der Zugang zu </t>
    </r>
    <r>
      <rPr>
        <b/>
        <i/>
        <sz val="10"/>
        <color theme="1"/>
        <rFont val="Calibri"/>
        <family val="2"/>
        <scheme val="minor"/>
      </rPr>
      <t>Leerrohr</t>
    </r>
    <r>
      <rPr>
        <i/>
        <sz val="10"/>
        <color theme="1"/>
        <rFont val="Calibri"/>
        <family val="2"/>
        <scheme val="minor"/>
      </rPr>
      <t xml:space="preserve"> nachgefragt, ist der </t>
    </r>
    <r>
      <rPr>
        <b/>
        <i/>
        <sz val="10"/>
        <color theme="1"/>
        <rFont val="Calibri"/>
        <family val="2"/>
        <scheme val="minor"/>
      </rPr>
      <t>Wert „0“</t>
    </r>
    <r>
      <rPr>
        <i/>
        <sz val="10"/>
        <color theme="1"/>
        <rFont val="Calibri"/>
        <family val="2"/>
        <scheme val="minor"/>
      </rPr>
      <t xml:space="preserve"> anzusetzen“</t>
    </r>
  </si>
  <si>
    <r>
      <t xml:space="preserve">Werden </t>
    </r>
    <r>
      <rPr>
        <b/>
        <i/>
        <sz val="10"/>
        <color theme="1"/>
        <rFont val="Calibri"/>
        <family val="2"/>
        <scheme val="minor"/>
      </rPr>
      <t>LWL-Fasern</t>
    </r>
    <r>
      <rPr>
        <i/>
        <sz val="10"/>
        <color theme="1"/>
        <rFont val="Calibri"/>
        <family val="2"/>
        <scheme val="minor"/>
      </rPr>
      <t xml:space="preserve"> in einem bestehenden LWL-Kabel des NG nachgefragt, ist ein </t>
    </r>
    <r>
      <rPr>
        <b/>
        <i/>
        <sz val="10"/>
        <color theme="1"/>
        <rFont val="Calibri"/>
        <family val="2"/>
        <scheme val="minor"/>
      </rPr>
      <t>Wert &gt;0</t>
    </r>
    <r>
      <rPr>
        <i/>
        <sz val="10"/>
        <color theme="1"/>
        <rFont val="Calibri"/>
        <family val="2"/>
        <scheme val="minor"/>
      </rPr>
      <t xml:space="preserve"> anzugeben.</t>
    </r>
  </si>
  <si>
    <t>Entgelt pro m2 in der Kategorie Büroflächen - Mieten, Zustand: Nebenlage - neuwertig 
(nach aktuellem WKO Immobilien-Preisspiegel)</t>
  </si>
  <si>
    <t>Kostenkalkulation Mitbenutzung in einem Glasfaseranschlussnetz (FttH)</t>
  </si>
  <si>
    <t>geplante Take Up Rate (gesamt; zur Kostenaufteilung von Teilnhmeranschlüssen)</t>
  </si>
  <si>
    <t>Ergebnis:</t>
  </si>
  <si>
    <t>Basisdaten zum Glasfaseranschlussnetz</t>
  </si>
  <si>
    <t>Einheit</t>
  </si>
  <si>
    <t>Meldungen:</t>
  </si>
  <si>
    <t>Ausbau des Anschlussnetzes (Längen und Mengen)</t>
  </si>
  <si>
    <t>Grabungslänge [m]</t>
  </si>
  <si>
    <t>Gesamte Grabungslänge des Glasfaseranschlussnetzes</t>
  </si>
  <si>
    <t>m</t>
  </si>
  <si>
    <t>verlegte (Leer-)Rohrlänge [m]</t>
  </si>
  <si>
    <t>verlegte Fasernlänge [m]</t>
  </si>
  <si>
    <t>Anzahl erreichbare Haushalte (homes passed)</t>
  </si>
  <si>
    <t>Gesamtanzahl der durch den Ausbau mit einem Glasfaseranschluss erreichten Haushalte (Glasfaserende zumindest bis zur Grundstücksgrenze)</t>
  </si>
  <si>
    <t>Anzahl</t>
  </si>
  <si>
    <t>Eigennutzung des Anschlussnetzes</t>
  </si>
  <si>
    <t>(Leer-)Rohrlänge Eigennutzung [m]</t>
  </si>
  <si>
    <t>Fasernlänge Eigennutzung [m]</t>
  </si>
  <si>
    <t>Anzahl Haushalte mit eigenen Diensten versorgt</t>
  </si>
  <si>
    <t>Gesamtanzahl der tatsächlich angeschlossenen und mit einem Service versorgten Haushalte im Glasfaseranschlussnetz</t>
  </si>
  <si>
    <t>Bereits bestehende Mitbenutzung/Nutzung durch Dritte</t>
  </si>
  <si>
    <t>(Leer-)Rohrlänge bestehende Mitbenutzung/Vermietung [m]</t>
  </si>
  <si>
    <t>Gesamte durch Dritte bereits genutzte Länge an (Leer-)Rohren/Ducts/Microducts</t>
  </si>
  <si>
    <t>Fasernlänge bestehende Mitbenutzung/Vermietung [m]</t>
  </si>
  <si>
    <t>Gesamte durch Dritte bereits genutzte Länge an Glasfasern (Doppelfasern werden 2mal gerechnet)</t>
  </si>
  <si>
    <t>Art der neu hinzukommenden Mitbenutzung (Auswahl entweder - oder):</t>
  </si>
  <si>
    <t>Mitbenutzung von Teilnehmeranschlüssen aktiv</t>
  </si>
  <si>
    <t>Nachfrage Anzahl Haushalte zur Mitbenutzung</t>
  </si>
  <si>
    <t>Durch den Mitbenutzer versorgte Anzahl Haushalte</t>
  </si>
  <si>
    <t>Mitbenutzung von Teilnehmeranschlüssen passiv</t>
  </si>
  <si>
    <t>Mitbenutzung von Faser(n) auf einer Teilstrecke</t>
  </si>
  <si>
    <t>Nachfrage Fasernlänge zur Mitbenutzung [m]</t>
  </si>
  <si>
    <t>Mitbenutzung eines Leerrohrs (z.B. in einem Kabelkanal bzw. Rohrverbund)</t>
  </si>
  <si>
    <t>Nachfrage Leerrohrlänge neue Mitbenutzung [m]</t>
  </si>
  <si>
    <t>auf das durchschnittlich gebundene Kapital 
(Nachweis für die Höhe des WACC ist beizubringen)</t>
  </si>
  <si>
    <t>Kosten pro Jahr als %-Satz vom Invest</t>
  </si>
  <si>
    <t>einmalig als %-Satz vom Invest</t>
  </si>
  <si>
    <t>Investitionskosten Leerverrohrung inkl. Grabungsarbeiten</t>
  </si>
  <si>
    <t>€</t>
  </si>
  <si>
    <t>Investitionskosten abzüglich Förderung</t>
  </si>
  <si>
    <t>Jahre</t>
  </si>
  <si>
    <t>Abschreibung p.a.</t>
  </si>
  <si>
    <t>€/Jahr</t>
  </si>
  <si>
    <t>Kapitalkosten p.a.</t>
  </si>
  <si>
    <t>Kosten werden wie die Herstellungskosten über die ND verteilt.</t>
  </si>
  <si>
    <t>Summe Investitionskosten Grabung &amp; Leerrohr und sonstige Kosten p.a.</t>
  </si>
  <si>
    <t>Zugang Leerrohr</t>
  </si>
  <si>
    <t>Aufteilung der Investitionskosten Grabung &amp; Leerrohr</t>
  </si>
  <si>
    <t>(Leer-)Rohr Eigennutzung</t>
  </si>
  <si>
    <t>(Leer-)Rohr bestehende Mitbenutzung/Vermietung</t>
  </si>
  <si>
    <t>Nachfrage Leerrohrlänge neue Mitbenutzung</t>
  </si>
  <si>
    <t>Gesamt</t>
  </si>
  <si>
    <t>Übertrag anteilige Investitionskosten Grabung &amp; Leerrohr auf LWL-Kabel p.a.</t>
  </si>
  <si>
    <t>Investitionskosten LWL abzüglich Förderung</t>
  </si>
  <si>
    <t>Zugang LWL passiv (nach Länge)</t>
  </si>
  <si>
    <t>Kostenaufteilung LWL-Kabel an Hand Fasern auf Teilstrecken</t>
  </si>
  <si>
    <t>Nachfrage Fasernlänge zur Mitbenutzung</t>
  </si>
  <si>
    <t>Zugang zu Teilnehmern passiv</t>
  </si>
  <si>
    <t>Kostenaufteilung Teilnehmeranschlüsse</t>
  </si>
  <si>
    <t>Nachfrage Anzahl Haushalte zur Mitbenutzung aktiv</t>
  </si>
  <si>
    <t>Nachfrage Anzahl Haushalte zur Mitbenutzung passiv</t>
  </si>
  <si>
    <t>Anzahl Haushalte noch nicht mit Diensten versorgt</t>
  </si>
  <si>
    <t>Gesamt (min. Haushalte mittels geplanter Tak Up Rate)</t>
  </si>
  <si>
    <t>Investitionskosten mitbenutzte aktive Netzelemente (Layer 2 und/oder Layer 3)</t>
  </si>
  <si>
    <t>aktive Netzelemente für virtuellen Zugang auf Layer 2 und ggf. Layer 3 (Hardware und Software)</t>
  </si>
  <si>
    <t>Übertrag anteilige Investitionskosten LWL passiv je Teilnehmer auf LWL aktiv p.a.</t>
  </si>
  <si>
    <t>Sonstige Kosten iZm aktivem Zugang</t>
  </si>
  <si>
    <t>Zugang zu Teilnehmern aktiv</t>
  </si>
  <si>
    <t>Kostenaufteilung aktiver Zugang an Hand Teilnehmer</t>
  </si>
  <si>
    <t>Anmerkung zu dieser Berechnungsmethodik:</t>
  </si>
  <si>
    <t>NT</t>
  </si>
  <si>
    <t>Leerkosten werden nicht auf alle nutzenden Betreiber aliquot aufgeteilt</t>
  </si>
  <si>
    <t>VT</t>
  </si>
  <si>
    <t>Berechnung und Entgelte einheitlich ab der ersten Mitbenutzung</t>
  </si>
  <si>
    <r>
      <t xml:space="preserve">Gesamte verlegte Länge von (Leer-)Rohren/Ducts/Microducts (entspricht der Summe aus den einzelnen Grabungslängen mal Anzahl der Rohre je Abschnitt = 
</t>
    </r>
    <r>
      <rPr>
        <i/>
        <sz val="10"/>
        <rFont val="Symbol"/>
        <family val="1"/>
        <charset val="2"/>
      </rPr>
      <t>S</t>
    </r>
    <r>
      <rPr>
        <i/>
        <sz val="10"/>
        <rFont val="Arial"/>
        <family val="2"/>
      </rPr>
      <t>[Grabungslänge je Dim mal Anzahl Rohre])</t>
    </r>
  </si>
  <si>
    <r>
      <t xml:space="preserve">Gesamte verlegte Länge von Glasfasern (entspricht der Summe aus den Längen je Kabeldimension mal Anzahl der Fasern im jeweiligen Kabel = </t>
    </r>
    <r>
      <rPr>
        <i/>
        <sz val="10"/>
        <rFont val="Symbol"/>
        <family val="1"/>
        <charset val="2"/>
      </rPr>
      <t>S</t>
    </r>
    <r>
      <rPr>
        <i/>
        <sz val="10"/>
        <rFont val="Arial"/>
        <family val="2"/>
      </rPr>
      <t>[Kabellänge je Dim mal Anzahl Fasern])</t>
    </r>
  </si>
  <si>
    <r>
      <t>Gesamte selbst genutzte oder reservierte Länge an (Leer-)Rohren/Ducts/Microducts 
(</t>
    </r>
    <r>
      <rPr>
        <i/>
        <sz val="10"/>
        <rFont val="Symbol"/>
        <family val="1"/>
        <charset val="2"/>
      </rPr>
      <t>S</t>
    </r>
    <r>
      <rPr>
        <i/>
        <sz val="10"/>
        <rFont val="Arial"/>
        <family val="2"/>
      </rPr>
      <t>[Grabungsllängen mal Anzahl selbst genutzer Rohre])</t>
    </r>
  </si>
  <si>
    <r>
      <t xml:space="preserve">Gesamte selbst genutzte oder reservierte Längen an Glasfasern 
(Eigennutzung; Doppelfasern werden 2mal gerechnet; 
</t>
    </r>
    <r>
      <rPr>
        <i/>
        <sz val="10"/>
        <rFont val="Symbol"/>
        <family val="1"/>
        <charset val="2"/>
      </rPr>
      <t>S</t>
    </r>
    <r>
      <rPr>
        <i/>
        <sz val="10"/>
        <rFont val="Arial"/>
        <family val="2"/>
      </rPr>
      <t>[Kabellängen mal Anzahl selbst genutzer Fasern])</t>
    </r>
  </si>
  <si>
    <t>Anzahl Haushalte bestehende passive Mitbenutzung/Vermietung</t>
  </si>
  <si>
    <t>Anzahl Haushalte bestehende aktive Mitbenutzung/Vermietung</t>
  </si>
  <si>
    <t>ja</t>
  </si>
  <si>
    <t>nein</t>
  </si>
  <si>
    <r>
      <t xml:space="preserve">Von neuem Mitbenutzer nachgefrage Länge an Glasfasern 
(Doppelfasern werden 2mal gerechnet; 
</t>
    </r>
    <r>
      <rPr>
        <i/>
        <sz val="10"/>
        <rFont val="Symbol"/>
        <family val="1"/>
        <charset val="2"/>
      </rPr>
      <t>S[</t>
    </r>
    <r>
      <rPr>
        <i/>
        <sz val="10"/>
        <rFont val="Arial"/>
        <family val="2"/>
      </rPr>
      <t>Kabellängen mal Anzahl nachgefragter Fasern])</t>
    </r>
  </si>
  <si>
    <r>
      <t>Von neuem Mitbenutzer nachgefrage Länge an (Leer-)Rohren 
(</t>
    </r>
    <r>
      <rPr>
        <i/>
        <sz val="10"/>
        <rFont val="Symbol"/>
        <family val="1"/>
        <charset val="2"/>
      </rPr>
      <t>S[</t>
    </r>
    <r>
      <rPr>
        <i/>
        <sz val="10"/>
        <rFont val="Arial"/>
        <family val="2"/>
      </rPr>
      <t>Grabungslängen mal Anzahl nachgefragter (Leer-)Rohre])</t>
    </r>
  </si>
  <si>
    <t>Nachweis ist zu erbringen</t>
  </si>
  <si>
    <t>Anzahl Haushalte bestehende Mitbenutzung/Vermietung aktiv</t>
  </si>
  <si>
    <t>Anzahl Haushalte bestehende Mitbenutzung/Vermietung passiv</t>
  </si>
  <si>
    <t>Anzahl Haushalte bestehende Mitbenutzung/Vermietung</t>
  </si>
  <si>
    <t>Die förderbaren Plan-Gesamtinvestitionskosten (Neuverlegung, Mitverlegung, Mitnutzung:eigen und Mitnutzung:fremd - sofern Bestückung erfolgt in welcher gefördertes LWL eingebracht wird - Verwenden sie dafür die Längen aus der GIS Statistik</t>
  </si>
  <si>
    <t>Diese Kosten können nur bei entsprechendem Nachweis und Erläuterung im Antrag zusätzlich angegeben werden. Beachten Sie dabei bereits berücksichtige Kosten oberhalb (z.B. Akquisitionskosten)</t>
  </si>
  <si>
    <t>Die förderbaren Plan-Gesamtinvestitionskosten (siehe eCall "Kosten und Förderung") sind entsprechend auf Investitionskosten Leerverrohrung und Investitionskosten LWL-Kabel aufzuteilen</t>
  </si>
  <si>
    <t>Die Summe aller Förderungen(Förderkumulierung, auch Anschlussförderungen sind zu berücksichtigen) ist entsprechen auf Förderungsbetrag Leerverrohrung und Förderungsbetrag LWL-Kabel aufzuteilen</t>
  </si>
  <si>
    <r>
      <t xml:space="preserve">Wert ist im Einzelfall </t>
    </r>
    <r>
      <rPr>
        <i/>
        <u/>
        <sz val="10"/>
        <rFont val="Arial"/>
        <family val="2"/>
      </rPr>
      <t>begründet</t>
    </r>
    <r>
      <rPr>
        <i/>
        <sz val="10"/>
        <rFont val="Arial"/>
        <family val="2"/>
      </rPr>
      <t xml:space="preserve"> anzupassen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</si>
</sst>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0.000"/>
    <numFmt numFmtId="165" formatCode="_-* #,##0_-;\-* #,##0_-;_-* &quot;-&quot;??_-;_-@_-"/>
    <numFmt numFmtId="166" formatCode="0.0"/>
    <numFmt numFmtId="167" formatCode="_-* #,##0.000_-;\-* #,##0.000_-;_-* &quot;-&quot;??_-;_-@_-"/>
    <numFmt numFmtId="168" formatCode="_-* #,##0.00\ _€_-;\-* #,##0.00\ _€_-;_-* &quot;-&quot;??\ _€_-;_-@_-"/>
  </numFmts>
  <fonts count="50" x14ac:knownFonts="1">
    <font>
      <sz val="10"/>
      <name val="Arial"/>
      <family val="2"/>
    </font>
    <font>
      <sz val="11"/>
      <color theme="1"/>
      <name val="Calibri"/>
      <family val="2"/>
      <scheme val="minor"/>
    </font>
    <font>
      <sz val="10"/>
      <name val="Arial"/>
      <family val="2"/>
    </font>
    <font>
      <sz val="8"/>
      <name val="Arial"/>
      <family val="2"/>
    </font>
    <font>
      <b/>
      <sz val="14"/>
      <name val="Arial"/>
      <family val="2"/>
    </font>
    <font>
      <b/>
      <sz val="10"/>
      <name val="Arial"/>
      <family val="2"/>
    </font>
    <font>
      <b/>
      <i/>
      <u/>
      <sz val="10"/>
      <name val="Arial"/>
      <family val="2"/>
    </font>
    <font>
      <i/>
      <u/>
      <sz val="10"/>
      <name val="Arial"/>
      <family val="2"/>
    </font>
    <font>
      <i/>
      <sz val="10"/>
      <name val="Arial"/>
      <family val="2"/>
    </font>
    <font>
      <i/>
      <sz val="8"/>
      <name val="Arial"/>
      <family val="2"/>
    </font>
    <font>
      <sz val="9"/>
      <name val="Arial"/>
      <family val="2"/>
    </font>
    <font>
      <b/>
      <i/>
      <sz val="10"/>
      <name val="Arial"/>
      <family val="2"/>
    </font>
    <font>
      <b/>
      <i/>
      <sz val="12"/>
      <name val="Arial"/>
      <family val="2"/>
    </font>
    <font>
      <u/>
      <sz val="10"/>
      <color theme="10"/>
      <name val="Arial"/>
      <family val="2"/>
    </font>
    <font>
      <u/>
      <sz val="10"/>
      <color theme="11"/>
      <name val="Arial"/>
      <family val="2"/>
    </font>
    <font>
      <b/>
      <sz val="12"/>
      <name val="Arial"/>
      <family val="2"/>
    </font>
    <font>
      <b/>
      <sz val="10"/>
      <color rgb="FFFF0000"/>
      <name val="Arial"/>
      <family val="2"/>
    </font>
    <font>
      <b/>
      <sz val="9"/>
      <name val="Arial"/>
      <family val="2"/>
    </font>
    <font>
      <b/>
      <sz val="9"/>
      <color rgb="FFFF0000"/>
      <name val="Arial"/>
      <family val="2"/>
    </font>
    <font>
      <sz val="9"/>
      <name val="Arial"/>
      <family val="2"/>
    </font>
    <font>
      <u/>
      <sz val="9"/>
      <name val="Arial"/>
      <family val="2"/>
    </font>
    <font>
      <i/>
      <u/>
      <sz val="10"/>
      <color theme="1"/>
      <name val="Calibri"/>
      <family val="2"/>
      <scheme val="minor"/>
    </font>
    <font>
      <i/>
      <sz val="10"/>
      <color theme="1"/>
      <name val="Calibri"/>
      <family val="2"/>
      <scheme val="minor"/>
    </font>
    <font>
      <sz val="10"/>
      <color theme="1"/>
      <name val="Calibri"/>
      <family val="2"/>
      <scheme val="minor"/>
    </font>
    <font>
      <b/>
      <sz val="9"/>
      <color theme="1"/>
      <name val="Arial"/>
      <family val="2"/>
    </font>
    <font>
      <b/>
      <sz val="14"/>
      <color theme="3"/>
      <name val="Arial"/>
      <family val="2"/>
    </font>
    <font>
      <b/>
      <sz val="14"/>
      <color theme="3" tint="0.39997558519241921"/>
      <name val="Arial"/>
      <family val="2"/>
    </font>
    <font>
      <b/>
      <sz val="14"/>
      <color theme="5" tint="-0.249977111117893"/>
      <name val="Arial"/>
      <family val="2"/>
    </font>
    <font>
      <b/>
      <sz val="14"/>
      <color theme="6" tint="-0.249977111117893"/>
      <name val="Arial"/>
      <family val="2"/>
    </font>
    <font>
      <b/>
      <i/>
      <sz val="10"/>
      <color theme="1"/>
      <name val="Calibri"/>
      <family val="2"/>
      <scheme val="minor"/>
    </font>
    <font>
      <sz val="10"/>
      <color theme="1" tint="0.499984740745262"/>
      <name val="Arial"/>
      <family val="2"/>
    </font>
    <font>
      <b/>
      <sz val="10"/>
      <color theme="1" tint="0.499984740745262"/>
      <name val="Arial"/>
      <family val="2"/>
    </font>
    <font>
      <i/>
      <sz val="10"/>
      <color theme="1" tint="0.499984740745262"/>
      <name val="Arial"/>
      <family val="2"/>
    </font>
    <font>
      <b/>
      <i/>
      <sz val="10"/>
      <color theme="1" tint="0.499984740745262"/>
      <name val="Arial"/>
      <family val="2"/>
    </font>
    <font>
      <i/>
      <u/>
      <sz val="10"/>
      <color theme="1" tint="0.499984740745262"/>
      <name val="Arial"/>
      <family val="2"/>
    </font>
    <font>
      <b/>
      <i/>
      <u/>
      <sz val="10"/>
      <color theme="1" tint="0.499984740745262"/>
      <name val="Arial"/>
      <family val="2"/>
    </font>
    <font>
      <b/>
      <sz val="12"/>
      <color theme="1" tint="0.499984740745262"/>
      <name val="Arial"/>
      <family val="2"/>
    </font>
    <font>
      <i/>
      <sz val="9"/>
      <color theme="4" tint="-0.249977111117893"/>
      <name val="Arial"/>
      <family val="2"/>
    </font>
    <font>
      <b/>
      <i/>
      <u/>
      <sz val="12"/>
      <color theme="6" tint="-0.499984740745262"/>
      <name val="Arial"/>
      <family val="2"/>
    </font>
    <font>
      <sz val="12"/>
      <name val="Arial"/>
      <family val="2"/>
    </font>
    <font>
      <b/>
      <i/>
      <sz val="10"/>
      <color theme="6" tint="-0.499984740745262"/>
      <name val="Arial"/>
      <family val="2"/>
    </font>
    <font>
      <b/>
      <i/>
      <sz val="12"/>
      <color theme="6" tint="-0.499984740745262"/>
      <name val="Arial"/>
      <family val="2"/>
    </font>
    <font>
      <b/>
      <sz val="8"/>
      <name val="Arial"/>
      <family val="2"/>
    </font>
    <font>
      <i/>
      <u/>
      <sz val="9"/>
      <color theme="4" tint="-0.249977111117893"/>
      <name val="Arial"/>
      <family val="2"/>
    </font>
    <font>
      <b/>
      <i/>
      <sz val="9"/>
      <color theme="4" tint="-0.249977111117893"/>
      <name val="Arial"/>
      <family val="2"/>
    </font>
    <font>
      <i/>
      <sz val="10"/>
      <name val="Symbol"/>
      <family val="1"/>
      <charset val="2"/>
    </font>
    <font>
      <b/>
      <sz val="10"/>
      <color rgb="FFC00000"/>
      <name val="Arial"/>
      <family val="2"/>
    </font>
    <font>
      <i/>
      <sz val="10"/>
      <color theme="0" tint="-0.499984740745262"/>
      <name val="Arial"/>
      <family val="2"/>
    </font>
    <font>
      <sz val="10"/>
      <color theme="0" tint="-0.499984740745262"/>
      <name val="Arial"/>
      <family val="2"/>
    </font>
    <font>
      <sz val="9"/>
      <color theme="0" tint="-0.499984740745262"/>
      <name val="Arial"/>
      <family val="2"/>
    </font>
  </fonts>
  <fills count="13">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8"/>
        <bgColor indexed="64"/>
      </patternFill>
    </fill>
    <fill>
      <patternFill patternType="solid">
        <fgColor theme="6" tint="0.79998168889431442"/>
        <bgColor indexed="64"/>
      </patternFill>
    </fill>
    <fill>
      <patternFill patternType="solid">
        <fgColor theme="9" tint="0.59999389629810485"/>
        <bgColor indexed="64"/>
      </patternFill>
    </fill>
  </fills>
  <borders count="12">
    <border>
      <left/>
      <right/>
      <top/>
      <bottom/>
      <diagonal/>
    </border>
    <border>
      <left/>
      <right/>
      <top style="medium">
        <color auto="1"/>
      </top>
      <bottom/>
      <diagonal/>
    </border>
    <border>
      <left/>
      <right/>
      <top style="thin">
        <color auto="1"/>
      </top>
      <bottom/>
      <diagonal/>
    </border>
    <border>
      <left/>
      <right/>
      <top style="thin">
        <color auto="1"/>
      </top>
      <bottom style="double">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medium">
        <color indexed="64"/>
      </bottom>
      <diagonal/>
    </border>
    <border>
      <left/>
      <right/>
      <top style="medium">
        <color indexed="64"/>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auto="1"/>
      </top>
      <bottom style="medium">
        <color indexed="64"/>
      </bottom>
      <diagonal/>
    </border>
  </borders>
  <cellStyleXfs count="4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 fillId="0" borderId="0"/>
    <xf numFmtId="43" fontId="1" fillId="0" borderId="0" applyFont="0" applyFill="0" applyBorder="0" applyAlignment="0" applyProtection="0"/>
  </cellStyleXfs>
  <cellXfs count="217">
    <xf numFmtId="0" fontId="0" fillId="0" borderId="0" xfId="0"/>
    <xf numFmtId="0" fontId="5" fillId="8" borderId="0" xfId="0" applyFont="1" applyFill="1" applyAlignment="1">
      <alignment wrapText="1"/>
    </xf>
    <xf numFmtId="43" fontId="5" fillId="9" borderId="4" xfId="1" applyFont="1" applyFill="1" applyBorder="1" applyAlignment="1" applyProtection="1">
      <alignment horizontal="left" indent="1"/>
      <protection locked="0"/>
    </xf>
    <xf numFmtId="165" fontId="5" fillId="9" borderId="4" xfId="1" applyNumberFormat="1" applyFont="1" applyFill="1" applyBorder="1" applyAlignment="1" applyProtection="1">
      <alignment horizontal="left" indent="1"/>
      <protection locked="0"/>
    </xf>
    <xf numFmtId="43" fontId="5" fillId="9" borderId="4" xfId="0" applyNumberFormat="1" applyFont="1" applyFill="1" applyBorder="1" applyProtection="1">
      <protection locked="0"/>
    </xf>
    <xf numFmtId="166" fontId="5" fillId="9" borderId="4" xfId="0" applyNumberFormat="1" applyFont="1" applyFill="1" applyBorder="1" applyProtection="1">
      <protection locked="0"/>
    </xf>
    <xf numFmtId="166" fontId="5" fillId="10" borderId="4" xfId="0" applyNumberFormat="1" applyFont="1" applyFill="1" applyBorder="1" applyProtection="1">
      <protection locked="0"/>
    </xf>
    <xf numFmtId="9" fontId="16" fillId="9" borderId="4" xfId="0" applyNumberFormat="1" applyFont="1" applyFill="1" applyBorder="1" applyProtection="1">
      <protection locked="0"/>
    </xf>
    <xf numFmtId="10" fontId="16" fillId="9" borderId="4" xfId="0" applyNumberFormat="1" applyFont="1" applyFill="1" applyBorder="1" applyProtection="1">
      <protection locked="0"/>
    </xf>
    <xf numFmtId="0" fontId="16" fillId="9" borderId="4" xfId="0" applyFont="1" applyFill="1" applyBorder="1" applyProtection="1">
      <protection locked="0"/>
    </xf>
    <xf numFmtId="44" fontId="16" fillId="9" borderId="4" xfId="0" applyNumberFormat="1" applyFont="1" applyFill="1" applyBorder="1" applyProtection="1">
      <protection locked="0"/>
    </xf>
    <xf numFmtId="2" fontId="16" fillId="9" borderId="4" xfId="0" applyNumberFormat="1" applyFont="1" applyFill="1" applyBorder="1" applyProtection="1">
      <protection locked="0"/>
    </xf>
    <xf numFmtId="0" fontId="4" fillId="0" borderId="0" xfId="0" applyFont="1" applyAlignment="1">
      <alignment horizontal="left"/>
    </xf>
    <xf numFmtId="0" fontId="0" fillId="0" borderId="1" xfId="0" applyBorder="1" applyAlignment="1">
      <alignment horizontal="left"/>
    </xf>
    <xf numFmtId="0" fontId="0" fillId="0" borderId="0" xfId="0" applyAlignment="1">
      <alignment horizontal="left" wrapText="1"/>
    </xf>
    <xf numFmtId="0" fontId="0" fillId="0" borderId="2" xfId="0" applyBorder="1" applyAlignment="1">
      <alignment horizontal="left"/>
    </xf>
    <xf numFmtId="0" fontId="0" fillId="0" borderId="0" xfId="0" applyAlignment="1">
      <alignment horizontal="left"/>
    </xf>
    <xf numFmtId="43" fontId="0" fillId="0" borderId="0" xfId="1" applyFont="1" applyBorder="1" applyProtection="1"/>
    <xf numFmtId="49" fontId="0" fillId="0" borderId="0" xfId="0" applyNumberFormat="1"/>
    <xf numFmtId="0" fontId="10" fillId="0" borderId="0" xfId="0" applyFont="1" applyAlignment="1">
      <alignment horizontal="left" wrapText="1"/>
    </xf>
    <xf numFmtId="0" fontId="10" fillId="0" borderId="1" xfId="0" applyFont="1" applyBorder="1" applyAlignment="1">
      <alignment horizontal="left" wrapText="1"/>
    </xf>
    <xf numFmtId="0" fontId="0" fillId="0" borderId="1" xfId="0" applyBorder="1"/>
    <xf numFmtId="0" fontId="6" fillId="0" borderId="0" xfId="0" applyFont="1" applyAlignment="1">
      <alignment vertical="center"/>
    </xf>
    <xf numFmtId="0" fontId="0" fillId="0" borderId="0" xfId="0" applyAlignment="1">
      <alignment wrapText="1"/>
    </xf>
    <xf numFmtId="0" fontId="4" fillId="0" borderId="0" xfId="0" applyFont="1"/>
    <xf numFmtId="0" fontId="12" fillId="0" borderId="0" xfId="0" applyFont="1" applyAlignment="1">
      <alignment horizontal="left"/>
    </xf>
    <xf numFmtId="0" fontId="5" fillId="0" borderId="0" xfId="0" applyFont="1" applyAlignment="1">
      <alignment horizontal="left"/>
    </xf>
    <xf numFmtId="0" fontId="5" fillId="0" borderId="0" xfId="0" applyFont="1"/>
    <xf numFmtId="0" fontId="7" fillId="0" borderId="0" xfId="0" applyFont="1" applyAlignment="1">
      <alignment horizontal="left" wrapText="1"/>
    </xf>
    <xf numFmtId="0" fontId="21" fillId="0" borderId="0" xfId="0" applyFont="1"/>
    <xf numFmtId="0" fontId="0" fillId="8" borderId="0" xfId="0" applyFill="1"/>
    <xf numFmtId="0" fontId="0" fillId="8" borderId="0" xfId="0" applyFill="1" applyAlignment="1">
      <alignment wrapText="1"/>
    </xf>
    <xf numFmtId="0" fontId="5" fillId="8" borderId="0" xfId="0" applyFont="1" applyFill="1"/>
    <xf numFmtId="0" fontId="22" fillId="0" borderId="0" xfId="0" applyFont="1"/>
    <xf numFmtId="0" fontId="5" fillId="4" borderId="0" xfId="0" applyFont="1" applyFill="1"/>
    <xf numFmtId="0" fontId="0" fillId="3" borderId="0" xfId="0" applyFill="1"/>
    <xf numFmtId="0" fontId="0" fillId="3" borderId="0" xfId="0" applyFill="1" applyAlignment="1">
      <alignment horizontal="left" wrapText="1"/>
    </xf>
    <xf numFmtId="43" fontId="5" fillId="3" borderId="0" xfId="1" applyFont="1" applyFill="1" applyBorder="1" applyAlignment="1" applyProtection="1">
      <alignment horizontal="left" indent="1"/>
    </xf>
    <xf numFmtId="0" fontId="0" fillId="0" borderId="0" xfId="0" applyAlignment="1">
      <alignment horizontal="left" indent="1"/>
    </xf>
    <xf numFmtId="43" fontId="2" fillId="3" borderId="0" xfId="1" applyFont="1" applyFill="1" applyBorder="1" applyAlignment="1" applyProtection="1">
      <alignment horizontal="left" indent="1"/>
    </xf>
    <xf numFmtId="0" fontId="23" fillId="0" borderId="0" xfId="0" applyFont="1"/>
    <xf numFmtId="0" fontId="5" fillId="3" borderId="0" xfId="0" applyFont="1" applyFill="1"/>
    <xf numFmtId="165" fontId="2" fillId="3" borderId="0" xfId="1" applyNumberFormat="1" applyFont="1" applyFill="1" applyBorder="1" applyProtection="1"/>
    <xf numFmtId="0" fontId="8" fillId="3" borderId="0" xfId="0" applyFont="1" applyFill="1"/>
    <xf numFmtId="0" fontId="8" fillId="3" borderId="0" xfId="0" applyFont="1" applyFill="1" applyAlignment="1">
      <alignment wrapText="1"/>
    </xf>
    <xf numFmtId="43" fontId="8" fillId="3" borderId="0" xfId="0" applyNumberFormat="1" applyFont="1" applyFill="1"/>
    <xf numFmtId="9" fontId="5" fillId="3" borderId="0" xfId="3" applyFont="1" applyFill="1" applyBorder="1" applyProtection="1"/>
    <xf numFmtId="9" fontId="2" fillId="3" borderId="0" xfId="3" applyFont="1" applyFill="1" applyBorder="1" applyProtection="1"/>
    <xf numFmtId="43" fontId="5" fillId="3" borderId="0" xfId="0" applyNumberFormat="1" applyFont="1" applyFill="1"/>
    <xf numFmtId="43" fontId="2" fillId="3" borderId="0" xfId="0" applyNumberFormat="1" applyFont="1" applyFill="1"/>
    <xf numFmtId="43" fontId="8" fillId="3" borderId="3" xfId="0" applyNumberFormat="1" applyFont="1" applyFill="1" applyBorder="1"/>
    <xf numFmtId="0" fontId="8" fillId="3" borderId="0" xfId="0" applyFont="1" applyFill="1" applyAlignment="1">
      <alignment horizontal="left" wrapText="1"/>
    </xf>
    <xf numFmtId="0" fontId="11" fillId="5" borderId="3" xfId="0" applyFont="1" applyFill="1" applyBorder="1"/>
    <xf numFmtId="43" fontId="8" fillId="5" borderId="3" xfId="0" applyNumberFormat="1" applyFont="1" applyFill="1" applyBorder="1"/>
    <xf numFmtId="0" fontId="7" fillId="2" borderId="0" xfId="0" applyFont="1" applyFill="1"/>
    <xf numFmtId="0" fontId="0" fillId="2" borderId="0" xfId="0" applyFill="1"/>
    <xf numFmtId="0" fontId="0" fillId="2" borderId="0" xfId="0" applyFill="1" applyAlignment="1">
      <alignment horizontal="left" wrapText="1"/>
    </xf>
    <xf numFmtId="0" fontId="5" fillId="2" borderId="0" xfId="0" applyFont="1" applyFill="1"/>
    <xf numFmtId="0" fontId="0" fillId="2" borderId="5" xfId="0" applyFill="1" applyBorder="1"/>
    <xf numFmtId="0" fontId="11" fillId="2" borderId="0" xfId="0" applyFont="1" applyFill="1"/>
    <xf numFmtId="0" fontId="0" fillId="0" borderId="0" xfId="0" applyAlignment="1">
      <alignment horizontal="right"/>
    </xf>
    <xf numFmtId="0" fontId="0" fillId="5" borderId="3" xfId="0" applyFill="1" applyBorder="1" applyAlignment="1">
      <alignment horizontal="left" wrapText="1"/>
    </xf>
    <xf numFmtId="0" fontId="11" fillId="5" borderId="0" xfId="0" applyFont="1" applyFill="1" applyAlignment="1">
      <alignment horizontal="left" wrapText="1"/>
    </xf>
    <xf numFmtId="43" fontId="8" fillId="5" borderId="0" xfId="1" applyFont="1" applyFill="1" applyBorder="1" applyProtection="1"/>
    <xf numFmtId="0" fontId="5" fillId="6" borderId="0" xfId="0" applyFont="1" applyFill="1" applyAlignment="1">
      <alignment horizontal="right"/>
    </xf>
    <xf numFmtId="0" fontId="5" fillId="6" borderId="0" xfId="0" applyFont="1" applyFill="1" applyAlignment="1">
      <alignment horizontal="left"/>
    </xf>
    <xf numFmtId="4" fontId="0" fillId="6" borderId="0" xfId="0" applyNumberFormat="1" applyFill="1" applyAlignment="1">
      <alignment horizontal="right"/>
    </xf>
    <xf numFmtId="0" fontId="0" fillId="7" borderId="0" xfId="0" applyFill="1"/>
    <xf numFmtId="0" fontId="0" fillId="7" borderId="0" xfId="0" applyFill="1" applyAlignment="1">
      <alignment horizontal="left"/>
    </xf>
    <xf numFmtId="0" fontId="11" fillId="7" borderId="0" xfId="0" applyFont="1" applyFill="1" applyAlignment="1">
      <alignment horizontal="left" wrapText="1"/>
    </xf>
    <xf numFmtId="43" fontId="8" fillId="7" borderId="0" xfId="1" applyFont="1" applyFill="1" applyBorder="1" applyProtection="1"/>
    <xf numFmtId="0" fontId="0" fillId="7" borderId="0" xfId="0" applyFill="1" applyAlignment="1">
      <alignment horizontal="left" indent="1"/>
    </xf>
    <xf numFmtId="164" fontId="15" fillId="6" borderId="4" xfId="0" applyNumberFormat="1" applyFont="1" applyFill="1" applyBorder="1" applyAlignment="1">
      <alignment horizontal="right"/>
    </xf>
    <xf numFmtId="0" fontId="9" fillId="0" borderId="0" xfId="0" applyFont="1" applyAlignment="1">
      <alignment horizontal="right"/>
    </xf>
    <xf numFmtId="0" fontId="0" fillId="0" borderId="0" xfId="0" applyAlignment="1">
      <alignment horizontal="left" indent="2"/>
    </xf>
    <xf numFmtId="0" fontId="0" fillId="0" borderId="0" xfId="0" applyAlignment="1">
      <alignment horizontal="left" vertical="top" wrapText="1" indent="1"/>
    </xf>
    <xf numFmtId="0" fontId="7" fillId="3" borderId="0" xfId="0" applyFont="1" applyFill="1"/>
    <xf numFmtId="0" fontId="2" fillId="0" borderId="0" xfId="0" applyFont="1"/>
    <xf numFmtId="0" fontId="7" fillId="0" borderId="0" xfId="0" applyFont="1"/>
    <xf numFmtId="0" fontId="11" fillId="5" borderId="3" xfId="0" applyFont="1" applyFill="1" applyBorder="1" applyAlignment="1">
      <alignment horizontal="left" wrapText="1"/>
    </xf>
    <xf numFmtId="43" fontId="8" fillId="5" borderId="3" xfId="0" applyNumberFormat="1" applyFont="1" applyFill="1" applyBorder="1" applyAlignment="1">
      <alignment horizontal="right"/>
    </xf>
    <xf numFmtId="166" fontId="11" fillId="2" borderId="0" xfId="0" applyNumberFormat="1" applyFont="1" applyFill="1"/>
    <xf numFmtId="0" fontId="0" fillId="6" borderId="0" xfId="0" applyFill="1" applyAlignment="1">
      <alignment horizontal="left"/>
    </xf>
    <xf numFmtId="0" fontId="0" fillId="6" borderId="0" xfId="0" applyFill="1" applyAlignment="1">
      <alignment horizontal="left" wrapText="1"/>
    </xf>
    <xf numFmtId="0" fontId="0" fillId="6" borderId="0" xfId="0" applyFill="1"/>
    <xf numFmtId="0" fontId="0" fillId="6" borderId="0" xfId="0" applyFill="1" applyAlignment="1">
      <alignment horizontal="left" indent="1"/>
    </xf>
    <xf numFmtId="4" fontId="0" fillId="6" borderId="0" xfId="0" applyNumberFormat="1" applyFill="1"/>
    <xf numFmtId="0" fontId="0" fillId="7" borderId="0" xfId="0" applyFill="1" applyAlignment="1">
      <alignment wrapText="1"/>
    </xf>
    <xf numFmtId="0" fontId="5" fillId="7" borderId="0" xfId="0" applyFont="1" applyFill="1"/>
    <xf numFmtId="3" fontId="0" fillId="7" borderId="0" xfId="0" applyNumberFormat="1" applyFill="1"/>
    <xf numFmtId="0" fontId="5" fillId="7" borderId="0" xfId="0" applyFont="1" applyFill="1" applyAlignment="1">
      <alignment horizontal="right"/>
    </xf>
    <xf numFmtId="0" fontId="0" fillId="7" borderId="0" xfId="0" applyFill="1" applyAlignment="1">
      <alignment horizontal="left" wrapText="1"/>
    </xf>
    <xf numFmtId="164" fontId="0" fillId="7" borderId="4" xfId="0" applyNumberFormat="1" applyFill="1" applyBorder="1" applyAlignment="1">
      <alignment horizontal="right"/>
    </xf>
    <xf numFmtId="0" fontId="3" fillId="0" borderId="0" xfId="0" applyFont="1"/>
    <xf numFmtId="0" fontId="3" fillId="0" borderId="0" xfId="0" applyFont="1" applyAlignment="1">
      <alignment horizontal="left" wrapText="1"/>
    </xf>
    <xf numFmtId="0" fontId="3" fillId="0" borderId="0" xfId="0" applyFont="1" applyAlignment="1">
      <alignment horizontal="left" indent="1"/>
    </xf>
    <xf numFmtId="9" fontId="3" fillId="0" borderId="0" xfId="3" applyFont="1" applyFill="1" applyBorder="1" applyAlignment="1" applyProtection="1">
      <alignment horizontal="left" indent="1"/>
    </xf>
    <xf numFmtId="0" fontId="30" fillId="8" borderId="0" xfId="0" applyFont="1" applyFill="1"/>
    <xf numFmtId="0" fontId="31" fillId="8" borderId="0" xfId="0" applyFont="1" applyFill="1" applyAlignment="1">
      <alignment wrapText="1"/>
    </xf>
    <xf numFmtId="0" fontId="30" fillId="0" borderId="0" xfId="0" applyFont="1"/>
    <xf numFmtId="0" fontId="30" fillId="3" borderId="0" xfId="0" applyFont="1" applyFill="1"/>
    <xf numFmtId="0" fontId="32" fillId="3" borderId="0" xfId="0" applyFont="1" applyFill="1"/>
    <xf numFmtId="43" fontId="32" fillId="3" borderId="3" xfId="0" applyNumberFormat="1" applyFont="1" applyFill="1" applyBorder="1"/>
    <xf numFmtId="43" fontId="32" fillId="3" borderId="0" xfId="0" applyNumberFormat="1" applyFont="1" applyFill="1"/>
    <xf numFmtId="0" fontId="33" fillId="5" borderId="3" xfId="0" applyFont="1" applyFill="1" applyBorder="1"/>
    <xf numFmtId="0" fontId="34" fillId="2" borderId="0" xfId="0" applyFont="1" applyFill="1"/>
    <xf numFmtId="0" fontId="30" fillId="2" borderId="0" xfId="0" applyFont="1" applyFill="1"/>
    <xf numFmtId="0" fontId="33" fillId="2" borderId="0" xfId="0" applyFont="1" applyFill="1"/>
    <xf numFmtId="0" fontId="35" fillId="0" borderId="0" xfId="0" applyFont="1" applyAlignment="1">
      <alignment vertical="center"/>
    </xf>
    <xf numFmtId="0" fontId="30" fillId="0" borderId="0" xfId="0" applyFont="1" applyAlignment="1">
      <alignment horizontal="left" wrapText="1"/>
    </xf>
    <xf numFmtId="0" fontId="30" fillId="0" borderId="0" xfId="0" applyFont="1" applyAlignment="1">
      <alignment horizontal="left" indent="1"/>
    </xf>
    <xf numFmtId="43" fontId="31" fillId="9" borderId="4" xfId="0" applyNumberFormat="1" applyFont="1" applyFill="1" applyBorder="1" applyProtection="1">
      <protection locked="0"/>
    </xf>
    <xf numFmtId="43" fontId="32" fillId="5" borderId="3" xfId="0" applyNumberFormat="1" applyFont="1" applyFill="1" applyBorder="1"/>
    <xf numFmtId="0" fontId="30" fillId="2" borderId="0" xfId="0" applyFont="1" applyFill="1" applyAlignment="1">
      <alignment horizontal="left" wrapText="1"/>
    </xf>
    <xf numFmtId="0" fontId="31" fillId="2" borderId="0" xfId="0" applyFont="1" applyFill="1"/>
    <xf numFmtId="0" fontId="30" fillId="2" borderId="5" xfId="0" applyFont="1" applyFill="1" applyBorder="1"/>
    <xf numFmtId="0" fontId="30" fillId="0" borderId="0" xfId="0" applyFont="1" applyAlignment="1">
      <alignment wrapText="1"/>
    </xf>
    <xf numFmtId="0" fontId="30" fillId="0" borderId="0" xfId="0" applyFont="1" applyAlignment="1">
      <alignment horizontal="right"/>
    </xf>
    <xf numFmtId="0" fontId="30" fillId="5" borderId="3" xfId="0" applyFont="1" applyFill="1" applyBorder="1" applyAlignment="1">
      <alignment horizontal="left" wrapText="1"/>
    </xf>
    <xf numFmtId="0" fontId="33" fillId="5" borderId="0" xfId="0" applyFont="1" applyFill="1" applyAlignment="1">
      <alignment horizontal="left" wrapText="1"/>
    </xf>
    <xf numFmtId="43" fontId="32" fillId="5" borderId="0" xfId="1" applyFont="1" applyFill="1" applyBorder="1" applyProtection="1"/>
    <xf numFmtId="0" fontId="31" fillId="6" borderId="0" xfId="0" applyFont="1" applyFill="1" applyAlignment="1">
      <alignment horizontal="right"/>
    </xf>
    <xf numFmtId="0" fontId="31" fillId="6" borderId="0" xfId="0" applyFont="1" applyFill="1" applyAlignment="1">
      <alignment horizontal="left"/>
    </xf>
    <xf numFmtId="4" fontId="30" fillId="6" borderId="0" xfId="0" applyNumberFormat="1" applyFont="1" applyFill="1" applyAlignment="1">
      <alignment horizontal="right"/>
    </xf>
    <xf numFmtId="0" fontId="30" fillId="7" borderId="0" xfId="0" applyFont="1" applyFill="1"/>
    <xf numFmtId="0" fontId="30" fillId="7" borderId="0" xfId="0" applyFont="1" applyFill="1" applyAlignment="1">
      <alignment horizontal="left"/>
    </xf>
    <xf numFmtId="0" fontId="33" fillId="7" borderId="0" xfId="0" applyFont="1" applyFill="1" applyAlignment="1">
      <alignment horizontal="left" wrapText="1"/>
    </xf>
    <xf numFmtId="43" fontId="32" fillId="7" borderId="0" xfId="1" applyFont="1" applyFill="1" applyBorder="1" applyProtection="1"/>
    <xf numFmtId="0" fontId="30" fillId="7" borderId="0" xfId="0" applyFont="1" applyFill="1" applyAlignment="1">
      <alignment horizontal="left" indent="1"/>
    </xf>
    <xf numFmtId="164" fontId="36" fillId="6" borderId="4" xfId="0" applyNumberFormat="1" applyFont="1" applyFill="1" applyBorder="1" applyAlignment="1">
      <alignment horizontal="right"/>
    </xf>
    <xf numFmtId="43" fontId="30" fillId="3" borderId="0" xfId="1" applyFont="1" applyFill="1" applyBorder="1" applyAlignment="1" applyProtection="1">
      <alignment horizontal="left" indent="1"/>
    </xf>
    <xf numFmtId="165" fontId="30" fillId="3" borderId="0" xfId="1" applyNumberFormat="1" applyFont="1" applyFill="1" applyBorder="1" applyProtection="1"/>
    <xf numFmtId="9" fontId="30" fillId="3" borderId="0" xfId="3" applyFont="1" applyFill="1" applyBorder="1" applyProtection="1"/>
    <xf numFmtId="43" fontId="30" fillId="3" borderId="0" xfId="0" applyNumberFormat="1" applyFont="1" applyFill="1"/>
    <xf numFmtId="0" fontId="5" fillId="0" borderId="0" xfId="0" applyFont="1" applyAlignment="1">
      <alignment horizontal="left" vertical="center"/>
    </xf>
    <xf numFmtId="0" fontId="19" fillId="0" borderId="0" xfId="0" applyFont="1" applyAlignment="1">
      <alignment vertical="center"/>
    </xf>
    <xf numFmtId="0" fontId="0" fillId="0" borderId="0" xfId="0" applyAlignment="1">
      <alignment vertical="center"/>
    </xf>
    <xf numFmtId="43" fontId="37" fillId="0" borderId="0" xfId="1" applyFont="1" applyBorder="1" applyAlignment="1">
      <alignment vertical="center" wrapText="1"/>
    </xf>
    <xf numFmtId="9" fontId="5" fillId="9" borderId="4" xfId="3" applyFont="1" applyFill="1" applyBorder="1" applyAlignment="1" applyProtection="1">
      <alignment horizontal="right" vertical="center"/>
      <protection locked="0"/>
    </xf>
    <xf numFmtId="0" fontId="38" fillId="0" borderId="0" xfId="0" applyFont="1" applyAlignment="1">
      <alignment vertical="center"/>
    </xf>
    <xf numFmtId="0" fontId="39" fillId="0" borderId="0" xfId="0" applyFont="1"/>
    <xf numFmtId="0" fontId="40" fillId="0" borderId="0" xfId="0" applyFont="1" applyAlignment="1">
      <alignment vertical="center"/>
    </xf>
    <xf numFmtId="0" fontId="41" fillId="0" borderId="0" xfId="0" applyFont="1" applyAlignment="1">
      <alignment vertical="center"/>
    </xf>
    <xf numFmtId="0" fontId="6" fillId="0" borderId="0" xfId="0" applyFont="1" applyAlignment="1">
      <alignment vertical="top"/>
    </xf>
    <xf numFmtId="0" fontId="42" fillId="0" borderId="0" xfId="0" applyFont="1"/>
    <xf numFmtId="0" fontId="43" fillId="0" borderId="0" xfId="0" applyFont="1" applyAlignment="1">
      <alignment vertical="center" wrapText="1"/>
    </xf>
    <xf numFmtId="0" fontId="44" fillId="0" borderId="0" xfId="0" applyFont="1" applyAlignment="1">
      <alignment vertical="center" wrapText="1"/>
    </xf>
    <xf numFmtId="0" fontId="5" fillId="0" borderId="0" xfId="0" applyFont="1" applyAlignment="1">
      <alignment vertical="center"/>
    </xf>
    <xf numFmtId="0" fontId="0" fillId="2" borderId="5" xfId="0" applyFill="1" applyBorder="1" applyAlignment="1">
      <alignment vertical="top" wrapText="1"/>
    </xf>
    <xf numFmtId="0" fontId="8" fillId="2" borderId="5" xfId="0" applyFont="1" applyFill="1" applyBorder="1" applyAlignment="1">
      <alignment vertical="top" wrapText="1"/>
    </xf>
    <xf numFmtId="165" fontId="5" fillId="9" borderId="4" xfId="1" applyNumberFormat="1" applyFont="1" applyFill="1" applyBorder="1" applyAlignment="1" applyProtection="1">
      <alignment horizontal="left" vertical="center"/>
      <protection locked="0"/>
    </xf>
    <xf numFmtId="0" fontId="37" fillId="0" borderId="0" xfId="0" applyFont="1" applyAlignment="1">
      <alignment vertical="center" wrapText="1"/>
    </xf>
    <xf numFmtId="0" fontId="5" fillId="0" borderId="6" xfId="0" applyFont="1" applyBorder="1" applyAlignment="1">
      <alignment horizontal="left" vertical="center"/>
    </xf>
    <xf numFmtId="0" fontId="5" fillId="11" borderId="0" xfId="0" applyFont="1" applyFill="1" applyAlignment="1">
      <alignment vertical="center"/>
    </xf>
    <xf numFmtId="0" fontId="0" fillId="11" borderId="1" xfId="0" applyFill="1" applyBorder="1"/>
    <xf numFmtId="0" fontId="0" fillId="11" borderId="7" xfId="0" applyFill="1" applyBorder="1" applyAlignment="1">
      <alignment wrapText="1"/>
    </xf>
    <xf numFmtId="165" fontId="46" fillId="9" borderId="8" xfId="1" applyNumberFormat="1" applyFont="1" applyFill="1" applyBorder="1" applyAlignment="1" applyProtection="1">
      <alignment horizontal="left" vertical="center"/>
      <protection locked="0"/>
    </xf>
    <xf numFmtId="0" fontId="0" fillId="11" borderId="0" xfId="0" applyFill="1" applyAlignment="1">
      <alignment vertical="center"/>
    </xf>
    <xf numFmtId="0" fontId="0" fillId="11" borderId="6" xfId="0" applyFill="1" applyBorder="1" applyAlignment="1">
      <alignment vertical="top" wrapText="1"/>
    </xf>
    <xf numFmtId="0" fontId="8" fillId="11" borderId="6" xfId="0" applyFont="1" applyFill="1" applyBorder="1" applyAlignment="1">
      <alignment vertical="top" wrapText="1"/>
    </xf>
    <xf numFmtId="165" fontId="5" fillId="9" borderId="9" xfId="1" applyNumberFormat="1" applyFont="1" applyFill="1" applyBorder="1" applyAlignment="1" applyProtection="1">
      <alignment horizontal="left" vertical="center"/>
      <protection locked="0"/>
    </xf>
    <xf numFmtId="0" fontId="8" fillId="11" borderId="5" xfId="0" applyFont="1" applyFill="1" applyBorder="1" applyAlignment="1">
      <alignment wrapText="1"/>
    </xf>
    <xf numFmtId="165" fontId="46" fillId="9" borderId="10" xfId="1" applyNumberFormat="1" applyFont="1" applyFill="1" applyBorder="1" applyAlignment="1" applyProtection="1">
      <alignment horizontal="left" vertical="center"/>
      <protection locked="0"/>
    </xf>
    <xf numFmtId="0" fontId="0" fillId="11" borderId="0" xfId="0" applyFill="1"/>
    <xf numFmtId="165" fontId="5" fillId="9" borderId="11" xfId="1" applyNumberFormat="1" applyFont="1" applyFill="1" applyBorder="1" applyAlignment="1" applyProtection="1">
      <alignment horizontal="left" vertical="center"/>
      <protection locked="0"/>
    </xf>
    <xf numFmtId="9" fontId="5" fillId="9" borderId="4" xfId="0" applyNumberFormat="1" applyFont="1" applyFill="1" applyBorder="1" applyAlignment="1" applyProtection="1">
      <alignment vertical="center"/>
      <protection locked="0"/>
    </xf>
    <xf numFmtId="10" fontId="5" fillId="9" borderId="4" xfId="0" applyNumberFormat="1" applyFont="1" applyFill="1" applyBorder="1" applyAlignment="1" applyProtection="1">
      <alignment vertical="center"/>
      <protection locked="0"/>
    </xf>
    <xf numFmtId="9" fontId="0" fillId="0" borderId="0" xfId="0" applyNumberFormat="1"/>
    <xf numFmtId="165" fontId="0" fillId="0" borderId="0" xfId="0" applyNumberFormat="1"/>
    <xf numFmtId="0" fontId="8" fillId="0" borderId="0" xfId="0" applyFont="1" applyAlignment="1">
      <alignment wrapText="1"/>
    </xf>
    <xf numFmtId="0" fontId="8" fillId="0" borderId="0" xfId="0" applyFont="1"/>
    <xf numFmtId="43" fontId="5" fillId="9" borderId="4" xfId="1" applyFont="1" applyFill="1" applyBorder="1" applyAlignment="1" applyProtection="1">
      <alignment horizontal="left" vertical="center"/>
      <protection locked="0"/>
    </xf>
    <xf numFmtId="43" fontId="8" fillId="3" borderId="0" xfId="1" applyFont="1" applyFill="1" applyBorder="1" applyAlignment="1">
      <alignment horizontal="left" vertical="center"/>
    </xf>
    <xf numFmtId="0" fontId="0" fillId="0" borderId="0" xfId="0" applyAlignment="1">
      <alignment vertical="center" wrapText="1"/>
    </xf>
    <xf numFmtId="165" fontId="2" fillId="3" borderId="0" xfId="1" applyNumberFormat="1" applyFont="1" applyFill="1" applyBorder="1" applyAlignment="1">
      <alignment vertical="center"/>
    </xf>
    <xf numFmtId="43" fontId="8" fillId="3" borderId="0" xfId="0" applyNumberFormat="1" applyFont="1" applyFill="1" applyAlignment="1">
      <alignment vertical="center"/>
    </xf>
    <xf numFmtId="0" fontId="0" fillId="3" borderId="0" xfId="0" applyFill="1" applyAlignment="1">
      <alignment vertical="top"/>
    </xf>
    <xf numFmtId="43" fontId="8" fillId="3" borderId="3" xfId="0" applyNumberFormat="1" applyFont="1" applyFill="1" applyBorder="1" applyAlignment="1">
      <alignment vertical="center"/>
    </xf>
    <xf numFmtId="43" fontId="8" fillId="3" borderId="0" xfId="0" applyNumberFormat="1" applyFont="1" applyFill="1" applyAlignment="1">
      <alignment wrapText="1"/>
    </xf>
    <xf numFmtId="43" fontId="5" fillId="9" borderId="4" xfId="0" applyNumberFormat="1" applyFont="1" applyFill="1" applyBorder="1" applyAlignment="1" applyProtection="1">
      <alignment vertical="center"/>
      <protection locked="0"/>
    </xf>
    <xf numFmtId="43" fontId="8" fillId="5" borderId="3" xfId="0" applyNumberFormat="1" applyFont="1" applyFill="1" applyBorder="1" applyAlignment="1">
      <alignment vertical="center"/>
    </xf>
    <xf numFmtId="0" fontId="0" fillId="2" borderId="0" xfId="0" applyFill="1" applyAlignment="1">
      <alignment vertical="center"/>
    </xf>
    <xf numFmtId="167" fontId="0" fillId="2" borderId="0" xfId="1" applyNumberFormat="1" applyFont="1" applyFill="1" applyBorder="1" applyAlignment="1">
      <alignment vertical="center"/>
    </xf>
    <xf numFmtId="43" fontId="8" fillId="2" borderId="0" xfId="1" applyFont="1" applyFill="1" applyBorder="1" applyAlignment="1">
      <alignment vertical="center"/>
    </xf>
    <xf numFmtId="0" fontId="0" fillId="12" borderId="0" xfId="0" applyFill="1"/>
    <xf numFmtId="167" fontId="0" fillId="12" borderId="0" xfId="1" applyNumberFormat="1" applyFont="1" applyFill="1" applyBorder="1" applyAlignment="1">
      <alignment vertical="center"/>
    </xf>
    <xf numFmtId="43" fontId="11" fillId="12" borderId="0" xfId="1" applyFont="1" applyFill="1" applyBorder="1" applyAlignment="1">
      <alignment vertical="center"/>
    </xf>
    <xf numFmtId="0" fontId="47" fillId="2" borderId="0" xfId="0" applyFont="1" applyFill="1"/>
    <xf numFmtId="165" fontId="48" fillId="2" borderId="3" xfId="0" applyNumberFormat="1" applyFont="1" applyFill="1" applyBorder="1" applyAlignment="1">
      <alignment horizontal="left" wrapText="1"/>
    </xf>
    <xf numFmtId="0" fontId="48" fillId="0" borderId="0" xfId="0" applyFont="1" applyAlignment="1">
      <alignment horizontal="left" indent="1"/>
    </xf>
    <xf numFmtId="43" fontId="47" fillId="2" borderId="3" xfId="0" applyNumberFormat="1" applyFont="1" applyFill="1" applyBorder="1" applyAlignment="1">
      <alignment horizontal="left" wrapText="1"/>
    </xf>
    <xf numFmtId="0" fontId="0" fillId="0" borderId="0" xfId="0" applyAlignment="1">
      <alignment horizontal="right" vertical="center"/>
    </xf>
    <xf numFmtId="0" fontId="0" fillId="3" borderId="0" xfId="0" applyFill="1" applyAlignment="1">
      <alignment vertical="center"/>
    </xf>
    <xf numFmtId="0" fontId="0" fillId="3" borderId="0" xfId="0" applyFill="1" applyAlignment="1">
      <alignment wrapText="1"/>
    </xf>
    <xf numFmtId="167" fontId="8" fillId="3" borderId="0" xfId="0" applyNumberFormat="1" applyFont="1" applyFill="1" applyAlignment="1">
      <alignment horizontal="left" wrapText="1"/>
    </xf>
    <xf numFmtId="43" fontId="0" fillId="3" borderId="0" xfId="0" applyNumberFormat="1" applyFill="1" applyAlignment="1">
      <alignment vertical="center"/>
    </xf>
    <xf numFmtId="0" fontId="2" fillId="0" borderId="0" xfId="0" applyFont="1" applyAlignment="1">
      <alignment vertical="center"/>
    </xf>
    <xf numFmtId="0" fontId="0" fillId="2" borderId="0" xfId="0" applyFill="1" applyAlignment="1">
      <alignment wrapText="1"/>
    </xf>
    <xf numFmtId="0" fontId="47" fillId="2" borderId="0" xfId="0" applyFont="1" applyFill="1" applyAlignment="1">
      <alignment wrapText="1"/>
    </xf>
    <xf numFmtId="0" fontId="48" fillId="2" borderId="0" xfId="0" applyFont="1" applyFill="1" applyAlignment="1">
      <alignment wrapText="1"/>
    </xf>
    <xf numFmtId="167" fontId="48" fillId="2" borderId="0" xfId="1" applyNumberFormat="1" applyFont="1" applyFill="1" applyBorder="1" applyAlignment="1">
      <alignment vertical="center"/>
    </xf>
    <xf numFmtId="43" fontId="47" fillId="2" borderId="0" xfId="1" applyFont="1" applyFill="1" applyBorder="1" applyAlignment="1">
      <alignment vertical="center"/>
    </xf>
    <xf numFmtId="0" fontId="49" fillId="0" borderId="0" xfId="0" applyFont="1" applyAlignment="1">
      <alignment vertical="center"/>
    </xf>
    <xf numFmtId="168" fontId="0" fillId="0" borderId="0" xfId="0" applyNumberFormat="1"/>
    <xf numFmtId="9" fontId="3" fillId="0" borderId="0" xfId="3" applyFont="1" applyFill="1" applyBorder="1" applyAlignment="1">
      <alignment horizontal="left" indent="1"/>
    </xf>
    <xf numFmtId="167" fontId="8" fillId="3" borderId="0" xfId="0" applyNumberFormat="1" applyFont="1" applyFill="1" applyAlignment="1">
      <alignment horizontal="left" vertical="top" wrapText="1"/>
    </xf>
    <xf numFmtId="165" fontId="19" fillId="0" borderId="0" xfId="0" applyNumberFormat="1" applyFont="1" applyAlignment="1">
      <alignment vertical="center"/>
    </xf>
    <xf numFmtId="0" fontId="0" fillId="0" borderId="0" xfId="0" applyAlignment="1">
      <alignment horizontal="left" vertical="top" wrapText="1"/>
    </xf>
    <xf numFmtId="0" fontId="8" fillId="0" borderId="0" xfId="0" applyFont="1" applyAlignment="1">
      <alignment vertical="top"/>
    </xf>
    <xf numFmtId="0" fontId="17" fillId="0" borderId="0" xfId="0" applyFont="1" applyAlignment="1">
      <alignment horizontal="left" vertical="top" wrapText="1"/>
    </xf>
    <xf numFmtId="0" fontId="19" fillId="0" borderId="0" xfId="0" applyFont="1" applyAlignment="1">
      <alignment horizontal="left" vertical="top" wrapText="1"/>
    </xf>
    <xf numFmtId="0" fontId="11" fillId="5" borderId="3" xfId="0" applyFont="1" applyFill="1" applyBorder="1" applyAlignment="1">
      <alignment horizontal="left" wrapText="1"/>
    </xf>
    <xf numFmtId="0" fontId="0" fillId="0" borderId="0" xfId="0" applyAlignment="1">
      <alignment horizontal="left" vertical="top" wrapText="1" indent="1"/>
    </xf>
    <xf numFmtId="0" fontId="22" fillId="0" borderId="0" xfId="0" applyFont="1" applyAlignment="1">
      <alignment horizontal="left" vertical="top" wrapText="1"/>
    </xf>
    <xf numFmtId="0" fontId="33" fillId="5" borderId="3" xfId="0" applyFont="1" applyFill="1" applyBorder="1" applyAlignment="1">
      <alignment horizontal="left" wrapText="1"/>
    </xf>
    <xf numFmtId="0" fontId="8" fillId="5" borderId="3" xfId="0" applyFont="1" applyFill="1" applyBorder="1" applyAlignment="1">
      <alignment horizontal="left" wrapText="1"/>
    </xf>
    <xf numFmtId="0" fontId="5" fillId="0" borderId="0" xfId="0" applyFont="1" applyAlignment="1">
      <alignment horizontal="left" vertical="center" wrapText="1"/>
    </xf>
  </cellXfs>
  <cellStyles count="44">
    <cellStyle name="Besuchter Hyperlink" xfId="5" builtinId="9" hidden="1"/>
    <cellStyle name="Besuchter Hyperlink" xfId="7" builtinId="9" hidden="1"/>
    <cellStyle name="Besuchter Hyperlink" xfId="9" builtinId="9" hidden="1"/>
    <cellStyle name="Besuchter Hyperlink" xfId="11" builtinId="9" hidden="1"/>
    <cellStyle name="Besuchter Hyperlink" xfId="13" builtinId="9" hidden="1"/>
    <cellStyle name="Besuchter Hyperlink" xfId="15" builtinId="9" hidden="1"/>
    <cellStyle name="Besuchter Hyperlink" xfId="17" builtinId="9" hidden="1"/>
    <cellStyle name="Besuchter Hyperlink" xfId="19" builtinId="9" hidden="1"/>
    <cellStyle name="Besuchter Hyperlink" xfId="21" builtinId="9" hidden="1"/>
    <cellStyle name="Besuchter Hyperlink" xfId="23" builtinId="9" hidden="1"/>
    <cellStyle name="Besuchter Hyperlink" xfId="25" builtinId="9" hidden="1"/>
    <cellStyle name="Besuchter Hyperlink" xfId="27" builtinId="9" hidden="1"/>
    <cellStyle name="Besuchter Hyperlink" xfId="29" builtinId="9" hidden="1"/>
    <cellStyle name="Besuchter Hyperlink" xfId="31" builtinId="9" hidden="1"/>
    <cellStyle name="Besuchter Hyperlink" xfId="33" builtinId="9" hidden="1"/>
    <cellStyle name="Besuchter Hyperlink" xfId="35" builtinId="9" hidden="1"/>
    <cellStyle name="Besuchter Hyperlink" xfId="37" builtinId="9" hidden="1"/>
    <cellStyle name="Besuchter Hyperlink" xfId="39" builtinId="9" hidden="1"/>
    <cellStyle name="Besuchter Hyperlink" xfId="41" builtinId="9" hidden="1"/>
    <cellStyle name="Euro" xfId="2" xr:uid="{00000000-0005-0000-0000-000013000000}"/>
    <cellStyle name="Komma" xfId="1" builtinId="3"/>
    <cellStyle name="Komma 2" xfId="43" xr:uid="{432EBDB5-E50E-4E8E-9B02-0D1915A6C986}"/>
    <cellStyle name="Link" xfId="4" builtinId="8" hidden="1"/>
    <cellStyle name="Link" xfId="6" builtinId="8" hidden="1"/>
    <cellStyle name="Link" xfId="8" builtinId="8" hidden="1"/>
    <cellStyle name="Link" xfId="10" builtinId="8" hidden="1"/>
    <cellStyle name="Link" xfId="12" builtinId="8" hidden="1"/>
    <cellStyle name="Link" xfId="14" builtinId="8" hidden="1"/>
    <cellStyle name="Link" xfId="16" builtinId="8" hidden="1"/>
    <cellStyle name="Link" xfId="18" builtinId="8" hidden="1"/>
    <cellStyle name="Link" xfId="20" builtinId="8" hidden="1"/>
    <cellStyle name="Link" xfId="22" builtinId="8" hidden="1"/>
    <cellStyle name="Link" xfId="24" builtinId="8" hidden="1"/>
    <cellStyle name="Link" xfId="26" builtinId="8" hidden="1"/>
    <cellStyle name="Link" xfId="28" builtinId="8" hidden="1"/>
    <cellStyle name="Link" xfId="30" builtinId="8" hidden="1"/>
    <cellStyle name="Link" xfId="32" builtinId="8" hidden="1"/>
    <cellStyle name="Link" xfId="34" builtinId="8" hidden="1"/>
    <cellStyle name="Link" xfId="36" builtinId="8" hidden="1"/>
    <cellStyle name="Link" xfId="38" builtinId="8" hidden="1"/>
    <cellStyle name="Link" xfId="40" builtinId="8" hidden="1"/>
    <cellStyle name="Prozent" xfId="3" builtinId="5"/>
    <cellStyle name="Standard" xfId="0" builtinId="0"/>
    <cellStyle name="Standard 2" xfId="42" xr:uid="{D271C603-EF37-4AE5-B5DD-A4479A00F18B}"/>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4"/>
  <sheetViews>
    <sheetView topLeftCell="A15" zoomScaleNormal="100" zoomScalePageLayoutView="190" workbookViewId="0">
      <selection activeCell="K27" sqref="K27"/>
    </sheetView>
  </sheetViews>
  <sheetFormatPr baseColWidth="10" defaultColWidth="9.140625" defaultRowHeight="12.75" x14ac:dyDescent="0.2"/>
  <cols>
    <col min="1" max="1" width="2.28515625" customWidth="1"/>
    <col min="2" max="2" width="2.85546875" customWidth="1"/>
    <col min="3" max="3" width="54.85546875" customWidth="1"/>
    <col min="4" max="4" width="66.28515625" style="23" hidden="1" customWidth="1"/>
    <col min="5" max="5" width="32.28515625" hidden="1" customWidth="1"/>
    <col min="6" max="6" width="2.28515625" hidden="1" customWidth="1"/>
    <col min="7" max="7" width="31.140625" customWidth="1"/>
    <col min="8" max="8" width="2.42578125" customWidth="1"/>
    <col min="9" max="9" width="10.28515625" style="17" customWidth="1"/>
    <col min="10" max="10" width="10.28515625" customWidth="1"/>
    <col min="11" max="11" width="22.140625" style="18" customWidth="1"/>
  </cols>
  <sheetData>
    <row r="1" spans="1:12" ht="18" hidden="1" x14ac:dyDescent="0.25">
      <c r="A1" s="12" t="s">
        <v>17</v>
      </c>
      <c r="B1" s="13"/>
      <c r="C1" s="13"/>
      <c r="D1" s="14"/>
      <c r="E1" s="13"/>
      <c r="F1" s="13"/>
      <c r="G1" s="15"/>
      <c r="H1" s="16"/>
    </row>
    <row r="2" spans="1:12" ht="12" hidden="1" customHeight="1" x14ac:dyDescent="0.2">
      <c r="A2" s="19"/>
      <c r="B2" s="20"/>
      <c r="C2" s="20"/>
      <c r="D2" s="20"/>
      <c r="E2" s="21"/>
      <c r="F2" s="21"/>
      <c r="G2" s="21"/>
      <c r="I2"/>
      <c r="K2"/>
    </row>
    <row r="3" spans="1:12" ht="12" hidden="1" customHeight="1" x14ac:dyDescent="0.2">
      <c r="B3" s="22"/>
      <c r="I3"/>
      <c r="K3"/>
    </row>
    <row r="4" spans="1:12" ht="27.75" customHeight="1" x14ac:dyDescent="0.25">
      <c r="B4" s="22"/>
      <c r="C4" s="24" t="s">
        <v>79</v>
      </c>
      <c r="D4"/>
      <c r="F4" s="25" t="s">
        <v>19</v>
      </c>
      <c r="G4" s="26"/>
      <c r="I4"/>
      <c r="K4"/>
    </row>
    <row r="5" spans="1:12" ht="147" customHeight="1" x14ac:dyDescent="0.2">
      <c r="B5" s="22"/>
      <c r="C5" s="209" t="s">
        <v>62</v>
      </c>
      <c r="D5" s="209"/>
      <c r="E5" s="209"/>
      <c r="F5" s="209"/>
      <c r="G5" s="209"/>
      <c r="H5" s="209"/>
      <c r="I5" s="209"/>
      <c r="K5"/>
      <c r="L5" s="23"/>
    </row>
    <row r="6" spans="1:12" ht="39" customHeight="1" x14ac:dyDescent="0.2">
      <c r="B6" s="22"/>
      <c r="C6" s="210" t="s">
        <v>73</v>
      </c>
      <c r="D6" s="210"/>
      <c r="E6" s="210"/>
      <c r="F6" s="210"/>
      <c r="G6" s="210"/>
      <c r="I6"/>
      <c r="K6"/>
    </row>
    <row r="7" spans="1:12" x14ac:dyDescent="0.2">
      <c r="A7" s="27" t="s">
        <v>42</v>
      </c>
      <c r="D7" s="28" t="s">
        <v>4</v>
      </c>
      <c r="I7"/>
      <c r="K7"/>
    </row>
    <row r="8" spans="1:12" x14ac:dyDescent="0.2">
      <c r="A8" s="22"/>
      <c r="I8" s="29" t="s">
        <v>63</v>
      </c>
      <c r="K8"/>
    </row>
    <row r="9" spans="1:12" x14ac:dyDescent="0.2">
      <c r="B9" s="30"/>
      <c r="C9" s="1" t="s">
        <v>23</v>
      </c>
      <c r="D9" s="31"/>
      <c r="E9" s="30"/>
      <c r="F9" s="32"/>
      <c r="G9" s="7">
        <v>0.04</v>
      </c>
      <c r="I9" s="33" t="s">
        <v>85</v>
      </c>
      <c r="K9"/>
    </row>
    <row r="10" spans="1:12" x14ac:dyDescent="0.2">
      <c r="B10" s="30"/>
      <c r="C10" s="1" t="s">
        <v>16</v>
      </c>
      <c r="D10" s="31"/>
      <c r="E10" s="30"/>
      <c r="F10" s="32"/>
      <c r="G10" s="8">
        <v>1.4999999999999999E-2</v>
      </c>
      <c r="I10" s="33" t="s">
        <v>85</v>
      </c>
      <c r="K10"/>
    </row>
    <row r="11" spans="1:12" x14ac:dyDescent="0.2">
      <c r="B11" s="30"/>
      <c r="C11" s="1" t="s">
        <v>25</v>
      </c>
      <c r="D11" s="31"/>
      <c r="E11" s="32"/>
      <c r="F11" s="32"/>
      <c r="G11" s="8">
        <v>4.0000000000000001E-3</v>
      </c>
      <c r="I11" s="33" t="s">
        <v>85</v>
      </c>
      <c r="K11"/>
    </row>
    <row r="12" spans="1:12" ht="12.75" customHeight="1" x14ac:dyDescent="0.2">
      <c r="B12" s="30"/>
      <c r="C12" s="1" t="s">
        <v>86</v>
      </c>
      <c r="D12" s="31"/>
      <c r="E12" s="32"/>
      <c r="F12" s="32"/>
      <c r="G12" s="3">
        <v>8743.2800000000007</v>
      </c>
      <c r="I12" s="33" t="s">
        <v>64</v>
      </c>
      <c r="K12"/>
    </row>
    <row r="13" spans="1:12" x14ac:dyDescent="0.2">
      <c r="D13"/>
      <c r="I13" s="33"/>
      <c r="K13"/>
    </row>
    <row r="14" spans="1:12" x14ac:dyDescent="0.2">
      <c r="A14" s="22" t="s">
        <v>32</v>
      </c>
      <c r="E14" s="34"/>
      <c r="I14" s="33"/>
      <c r="K14"/>
    </row>
    <row r="15" spans="1:12" x14ac:dyDescent="0.2">
      <c r="E15" s="34"/>
      <c r="I15" s="33"/>
      <c r="K15"/>
    </row>
    <row r="16" spans="1:12" x14ac:dyDescent="0.2">
      <c r="B16" s="35"/>
      <c r="C16" s="35" t="s">
        <v>27</v>
      </c>
      <c r="E16" s="34"/>
      <c r="G16" s="2">
        <v>728370.55</v>
      </c>
      <c r="I16" s="33" t="s">
        <v>65</v>
      </c>
      <c r="K16"/>
    </row>
    <row r="17" spans="1:11" x14ac:dyDescent="0.2">
      <c r="B17" s="35"/>
      <c r="C17" s="35" t="s">
        <v>31</v>
      </c>
      <c r="E17" s="34"/>
      <c r="G17" s="2">
        <v>0</v>
      </c>
      <c r="I17" s="33" t="s">
        <v>66</v>
      </c>
      <c r="K17"/>
    </row>
    <row r="18" spans="1:11" ht="15" customHeight="1" x14ac:dyDescent="0.2">
      <c r="B18" s="35"/>
      <c r="C18" s="35" t="s">
        <v>28</v>
      </c>
      <c r="D18" s="36" t="s">
        <v>2</v>
      </c>
      <c r="E18" s="37">
        <v>450000</v>
      </c>
      <c r="F18" s="38"/>
      <c r="G18" s="39">
        <f>SUM(G16:G17)</f>
        <v>728370.55</v>
      </c>
      <c r="H18" s="23"/>
      <c r="I18" s="40"/>
      <c r="K18"/>
    </row>
    <row r="19" spans="1:11" ht="15" customHeight="1" x14ac:dyDescent="0.2">
      <c r="B19" s="35"/>
      <c r="C19" s="35" t="s">
        <v>26</v>
      </c>
      <c r="D19" s="36"/>
      <c r="E19" s="37"/>
      <c r="F19" s="38"/>
      <c r="G19" s="2">
        <v>437022.33</v>
      </c>
      <c r="H19" s="23"/>
      <c r="I19" s="33" t="s">
        <v>67</v>
      </c>
      <c r="K19"/>
    </row>
    <row r="20" spans="1:11" ht="15" customHeight="1" x14ac:dyDescent="0.2">
      <c r="B20" s="35"/>
      <c r="C20" s="35" t="s">
        <v>20</v>
      </c>
      <c r="D20" s="36"/>
      <c r="E20" s="37"/>
      <c r="F20" s="38"/>
      <c r="G20" s="39">
        <f>G18-G19</f>
        <v>291348.22000000003</v>
      </c>
      <c r="H20" s="23"/>
      <c r="I20" s="40"/>
      <c r="K20"/>
    </row>
    <row r="21" spans="1:11" ht="15" customHeight="1" x14ac:dyDescent="0.2">
      <c r="B21" s="35"/>
      <c r="C21" s="35" t="s">
        <v>6</v>
      </c>
      <c r="D21" s="36" t="s">
        <v>1</v>
      </c>
      <c r="E21" s="41">
        <v>30</v>
      </c>
      <c r="F21" s="38"/>
      <c r="G21" s="42">
        <v>30</v>
      </c>
      <c r="I21" s="40"/>
      <c r="K21"/>
    </row>
    <row r="22" spans="1:11" ht="15" customHeight="1" x14ac:dyDescent="0.2">
      <c r="B22" s="35"/>
      <c r="C22" s="43" t="s">
        <v>7</v>
      </c>
      <c r="D22" s="44" t="s">
        <v>8</v>
      </c>
      <c r="E22" s="45">
        <f>E18/E21</f>
        <v>15000</v>
      </c>
      <c r="F22" s="38"/>
      <c r="G22" s="45">
        <f>G20/G21</f>
        <v>9711.6073333333352</v>
      </c>
      <c r="I22" s="40"/>
      <c r="K22"/>
    </row>
    <row r="23" spans="1:11" ht="15" customHeight="1" x14ac:dyDescent="0.2">
      <c r="B23" s="35"/>
      <c r="C23" s="35" t="s">
        <v>10</v>
      </c>
      <c r="D23" s="36" t="s">
        <v>3</v>
      </c>
      <c r="E23" s="46">
        <v>0.1</v>
      </c>
      <c r="F23" s="38"/>
      <c r="G23" s="47">
        <f>G9</f>
        <v>0.04</v>
      </c>
      <c r="I23" s="40"/>
      <c r="K23"/>
    </row>
    <row r="24" spans="1:11" ht="15" customHeight="1" x14ac:dyDescent="0.2">
      <c r="B24" s="35"/>
      <c r="C24" s="43" t="s">
        <v>9</v>
      </c>
      <c r="D24" s="44" t="s">
        <v>8</v>
      </c>
      <c r="E24" s="45">
        <f>E18/2*E23</f>
        <v>22500</v>
      </c>
      <c r="F24" s="38"/>
      <c r="G24" s="45">
        <f>G20/2*G23</f>
        <v>5826.9644000000008</v>
      </c>
      <c r="I24" s="40"/>
      <c r="K24"/>
    </row>
    <row r="25" spans="1:11" ht="15" customHeight="1" x14ac:dyDescent="0.2">
      <c r="B25" s="35"/>
      <c r="C25" s="35" t="s">
        <v>5</v>
      </c>
      <c r="D25" s="36" t="s">
        <v>14</v>
      </c>
      <c r="E25" s="48">
        <v>10080</v>
      </c>
      <c r="F25" s="38"/>
      <c r="G25" s="49">
        <f>G18*$G$10</f>
        <v>10925.55825</v>
      </c>
      <c r="I25" s="40"/>
      <c r="K25"/>
    </row>
    <row r="26" spans="1:11" ht="15" customHeight="1" x14ac:dyDescent="0.2">
      <c r="B26" s="35"/>
      <c r="C26" s="35" t="s">
        <v>18</v>
      </c>
      <c r="D26" s="36" t="s">
        <v>12</v>
      </c>
      <c r="E26" s="48">
        <v>225</v>
      </c>
      <c r="F26" s="38"/>
      <c r="G26" s="49">
        <f>G18/G21*$G$11</f>
        <v>97.116073333333333</v>
      </c>
      <c r="I26" s="40"/>
      <c r="K26"/>
    </row>
    <row r="27" spans="1:11" ht="13.5" thickBot="1" x14ac:dyDescent="0.25">
      <c r="B27" s="35"/>
      <c r="C27" s="50" t="s">
        <v>0</v>
      </c>
      <c r="D27" s="51"/>
      <c r="E27" s="50">
        <f>E22+E24+E25+E26</f>
        <v>47805</v>
      </c>
      <c r="F27" s="38"/>
      <c r="G27" s="50">
        <f>G22+G24+G25+G26</f>
        <v>26561.24605666667</v>
      </c>
      <c r="I27" s="40"/>
      <c r="K27"/>
    </row>
    <row r="28" spans="1:11" ht="13.5" thickTop="1" x14ac:dyDescent="0.2">
      <c r="B28" s="35"/>
      <c r="C28" s="45"/>
      <c r="D28" s="51"/>
      <c r="E28" s="45"/>
      <c r="F28" s="38"/>
      <c r="G28" s="45"/>
      <c r="I28" s="40"/>
      <c r="K28"/>
    </row>
    <row r="29" spans="1:11" x14ac:dyDescent="0.2">
      <c r="D29"/>
      <c r="I29" s="40"/>
      <c r="K29"/>
    </row>
    <row r="30" spans="1:11" ht="12.95" customHeight="1" x14ac:dyDescent="0.2">
      <c r="A30" s="22" t="s">
        <v>47</v>
      </c>
      <c r="D30" s="14"/>
      <c r="F30" s="38"/>
      <c r="I30" s="40"/>
      <c r="K30"/>
    </row>
    <row r="31" spans="1:11" ht="12.95" customHeight="1" x14ac:dyDescent="0.2">
      <c r="D31" s="14"/>
      <c r="F31" s="38"/>
      <c r="I31" s="40"/>
      <c r="K31"/>
    </row>
    <row r="32" spans="1:11" ht="12.95" customHeight="1" x14ac:dyDescent="0.2">
      <c r="B32" s="45"/>
      <c r="C32" s="45" t="s">
        <v>45</v>
      </c>
      <c r="D32" s="45"/>
      <c r="E32" s="45"/>
      <c r="F32" s="45"/>
      <c r="G32" s="4">
        <v>0</v>
      </c>
      <c r="I32" s="33" t="s">
        <v>68</v>
      </c>
      <c r="K32"/>
    </row>
    <row r="33" spans="2:11" ht="12.95" customHeight="1" x14ac:dyDescent="0.2">
      <c r="D33" s="14"/>
      <c r="F33" s="38"/>
      <c r="I33" s="40"/>
      <c r="K33"/>
    </row>
    <row r="34" spans="2:11" ht="12.95" customHeight="1" thickBot="1" x14ac:dyDescent="0.25">
      <c r="B34" s="52" t="s">
        <v>41</v>
      </c>
      <c r="C34" s="52"/>
      <c r="D34" s="14"/>
      <c r="F34" s="38"/>
      <c r="G34" s="53">
        <f>SUM(G32+G27)</f>
        <v>26561.24605666667</v>
      </c>
      <c r="I34" s="40"/>
      <c r="K34"/>
    </row>
    <row r="35" spans="2:11" ht="13.5" thickTop="1" x14ac:dyDescent="0.2">
      <c r="D35" s="14"/>
      <c r="F35" s="38"/>
      <c r="I35" s="40"/>
      <c r="K35"/>
    </row>
    <row r="36" spans="2:11" x14ac:dyDescent="0.2">
      <c r="B36" s="54" t="s">
        <v>33</v>
      </c>
      <c r="C36" s="55"/>
      <c r="D36" s="56"/>
      <c r="E36" s="55"/>
      <c r="F36" s="38"/>
      <c r="G36" s="55"/>
      <c r="I36" s="40"/>
      <c r="K36"/>
    </row>
    <row r="37" spans="2:11" x14ac:dyDescent="0.2">
      <c r="B37" s="55"/>
      <c r="C37" s="55" t="s">
        <v>50</v>
      </c>
      <c r="D37" s="56"/>
      <c r="E37" s="57">
        <v>6</v>
      </c>
      <c r="F37" s="38"/>
      <c r="G37" s="5">
        <v>1</v>
      </c>
      <c r="I37" s="33" t="s">
        <v>69</v>
      </c>
      <c r="K37"/>
    </row>
    <row r="38" spans="2:11" ht="12" customHeight="1" x14ac:dyDescent="0.2">
      <c r="B38" s="55"/>
      <c r="C38" s="55" t="s">
        <v>51</v>
      </c>
      <c r="D38" s="56"/>
      <c r="E38" s="57"/>
      <c r="F38" s="38"/>
      <c r="G38" s="5">
        <v>0</v>
      </c>
      <c r="I38" s="33" t="s">
        <v>70</v>
      </c>
      <c r="K38"/>
    </row>
    <row r="39" spans="2:11" x14ac:dyDescent="0.2">
      <c r="B39" s="55"/>
      <c r="C39" s="55" t="s">
        <v>52</v>
      </c>
      <c r="D39" s="56"/>
      <c r="E39" s="57">
        <v>2</v>
      </c>
      <c r="F39" s="38"/>
      <c r="G39" s="58">
        <f>IF(G41=0,1,0)</f>
        <v>1</v>
      </c>
      <c r="I39" s="40"/>
      <c r="K39"/>
    </row>
    <row r="40" spans="2:11" x14ac:dyDescent="0.2">
      <c r="B40" s="55"/>
      <c r="C40" s="59" t="s">
        <v>53</v>
      </c>
      <c r="D40" s="56"/>
      <c r="E40" s="57"/>
      <c r="F40" s="38"/>
      <c r="G40" s="57">
        <f>IF(SUM(G37:G39)&lt;&gt;0,SUM(G37:G39),1)</f>
        <v>2</v>
      </c>
      <c r="I40" s="40"/>
      <c r="K40"/>
    </row>
    <row r="41" spans="2:11" x14ac:dyDescent="0.2">
      <c r="B41" s="55"/>
      <c r="C41" s="55" t="s">
        <v>54</v>
      </c>
      <c r="D41" s="56"/>
      <c r="E41" s="57">
        <v>2</v>
      </c>
      <c r="F41" s="38"/>
      <c r="G41" s="6">
        <v>0</v>
      </c>
      <c r="I41" s="33" t="s">
        <v>88</v>
      </c>
      <c r="K41"/>
    </row>
    <row r="42" spans="2:11" x14ac:dyDescent="0.2">
      <c r="I42" s="40"/>
    </row>
    <row r="43" spans="2:11" x14ac:dyDescent="0.2">
      <c r="D43" s="14"/>
      <c r="F43" s="38"/>
      <c r="G43" s="60"/>
      <c r="I43" s="40"/>
      <c r="K43"/>
    </row>
    <row r="44" spans="2:11" ht="26.25" customHeight="1" thickBot="1" x14ac:dyDescent="0.25">
      <c r="B44" s="211" t="s">
        <v>34</v>
      </c>
      <c r="C44" s="211"/>
      <c r="D44" s="61"/>
      <c r="E44" s="53" t="e">
        <f>#REF!/(E37+E39)/E41</f>
        <v>#REF!</v>
      </c>
      <c r="F44" s="38"/>
      <c r="G44" s="53">
        <f>IF(G41&gt;0,(G34/G40/G41), G34/G40)</f>
        <v>13280.623028333335</v>
      </c>
      <c r="I44" s="40"/>
    </row>
    <row r="45" spans="2:11" ht="12.95" hidden="1" customHeight="1" thickTop="1" x14ac:dyDescent="0.2">
      <c r="B45" s="62"/>
      <c r="C45" s="62"/>
      <c r="D45" s="62"/>
      <c r="E45" s="63"/>
      <c r="F45" s="38"/>
      <c r="G45" s="63"/>
      <c r="I45" s="40"/>
      <c r="K45"/>
    </row>
    <row r="46" spans="2:11" ht="12.95" hidden="1" customHeight="1" thickTop="1" x14ac:dyDescent="0.2">
      <c r="B46" s="62"/>
      <c r="C46" s="62"/>
      <c r="D46" s="62"/>
      <c r="E46" s="63"/>
      <c r="F46" s="38"/>
      <c r="G46" s="63"/>
      <c r="I46" s="40"/>
      <c r="K46"/>
    </row>
    <row r="47" spans="2:11" ht="12.95" hidden="1" customHeight="1" thickTop="1" x14ac:dyDescent="0.2">
      <c r="B47" s="62"/>
      <c r="C47" s="62"/>
      <c r="D47" s="62"/>
      <c r="E47" s="63"/>
      <c r="F47" s="38"/>
      <c r="G47" s="63"/>
      <c r="I47" s="40"/>
      <c r="K47"/>
    </row>
    <row r="48" spans="2:11" ht="12.95" customHeight="1" thickTop="1" x14ac:dyDescent="0.2">
      <c r="D48"/>
      <c r="I48" s="40"/>
      <c r="K48"/>
    </row>
    <row r="49" spans="1:11" ht="12.95" customHeight="1" x14ac:dyDescent="0.2">
      <c r="A49" s="22" t="s">
        <v>43</v>
      </c>
      <c r="D49" s="14"/>
      <c r="F49" s="38"/>
      <c r="I49" s="40"/>
      <c r="K49"/>
    </row>
    <row r="50" spans="1:11" ht="12.95" customHeight="1" x14ac:dyDescent="0.2">
      <c r="B50" s="64"/>
      <c r="C50" s="65" t="s">
        <v>29</v>
      </c>
      <c r="D50" s="62"/>
      <c r="E50" s="63"/>
      <c r="F50" s="38"/>
      <c r="G50" s="66">
        <f>IF(G41=0,(G44/12), "(im LWL-Preis enthalten)")</f>
        <v>1106.7185856944445</v>
      </c>
      <c r="I50" s="40"/>
      <c r="K50"/>
    </row>
    <row r="51" spans="1:11" ht="12.95" customHeight="1" x14ac:dyDescent="0.2">
      <c r="B51" s="67"/>
      <c r="C51" s="68" t="s">
        <v>22</v>
      </c>
      <c r="D51" s="69"/>
      <c r="E51" s="70"/>
      <c r="F51" s="71"/>
      <c r="G51">
        <f>G12</f>
        <v>8743.2800000000007</v>
      </c>
      <c r="I51" s="40"/>
      <c r="K51"/>
    </row>
    <row r="52" spans="1:11" ht="17.100000000000001" customHeight="1" x14ac:dyDescent="0.25">
      <c r="B52" s="64"/>
      <c r="C52" s="65" t="s">
        <v>30</v>
      </c>
      <c r="D52" s="62"/>
      <c r="E52" s="63"/>
      <c r="F52" s="38"/>
      <c r="G52" s="72">
        <f>IF(G41=0,(G50/G51), "(im LWL-Preis enthalten)")</f>
        <v>0.12657933701018889</v>
      </c>
      <c r="I52" s="40"/>
      <c r="K52"/>
    </row>
    <row r="53" spans="1:11" x14ac:dyDescent="0.2">
      <c r="D53" s="14"/>
      <c r="F53" s="38"/>
      <c r="I53" s="40"/>
      <c r="K53"/>
    </row>
    <row r="54" spans="1:11" x14ac:dyDescent="0.2">
      <c r="D54" s="14"/>
      <c r="F54" s="38"/>
    </row>
    <row r="55" spans="1:11" x14ac:dyDescent="0.2">
      <c r="C55" s="73"/>
      <c r="D55" s="14"/>
      <c r="F55" s="38"/>
    </row>
    <row r="56" spans="1:11" x14ac:dyDescent="0.2">
      <c r="D56" s="14"/>
      <c r="F56" s="38"/>
    </row>
    <row r="57" spans="1:11" x14ac:dyDescent="0.2">
      <c r="D57" s="14"/>
      <c r="F57" s="38"/>
    </row>
    <row r="58" spans="1:11" x14ac:dyDescent="0.2">
      <c r="D58" s="14"/>
      <c r="F58" s="38"/>
    </row>
    <row r="59" spans="1:11" x14ac:dyDescent="0.2">
      <c r="C59" s="73"/>
      <c r="D59" s="14"/>
      <c r="F59" s="38"/>
    </row>
    <row r="60" spans="1:11" x14ac:dyDescent="0.2">
      <c r="D60" s="14"/>
      <c r="F60" s="74"/>
    </row>
    <row r="61" spans="1:11" x14ac:dyDescent="0.2">
      <c r="D61" s="14"/>
      <c r="F61" s="74"/>
    </row>
    <row r="62" spans="1:11" x14ac:dyDescent="0.2">
      <c r="D62" s="14"/>
      <c r="F62" s="74"/>
    </row>
    <row r="63" spans="1:11" x14ac:dyDescent="0.2">
      <c r="D63" s="14"/>
      <c r="F63" s="74"/>
    </row>
    <row r="64" spans="1:11" x14ac:dyDescent="0.2">
      <c r="D64" s="14"/>
      <c r="F64" s="74"/>
    </row>
    <row r="65" spans="4:6" x14ac:dyDescent="0.2">
      <c r="D65" s="75"/>
      <c r="F65" s="75"/>
    </row>
    <row r="66" spans="4:6" x14ac:dyDescent="0.2">
      <c r="D66" s="75"/>
      <c r="F66" s="75"/>
    </row>
    <row r="67" spans="4:6" x14ac:dyDescent="0.2">
      <c r="D67" s="75"/>
      <c r="F67" s="75"/>
    </row>
    <row r="68" spans="4:6" x14ac:dyDescent="0.2">
      <c r="D68" s="14"/>
    </row>
    <row r="69" spans="4:6" x14ac:dyDescent="0.2">
      <c r="D69" s="14"/>
    </row>
    <row r="70" spans="4:6" x14ac:dyDescent="0.2">
      <c r="D70" s="75"/>
      <c r="F70" s="75"/>
    </row>
    <row r="71" spans="4:6" x14ac:dyDescent="0.2">
      <c r="D71" s="75"/>
      <c r="F71" s="75"/>
    </row>
    <row r="72" spans="4:6" x14ac:dyDescent="0.2">
      <c r="D72" s="14"/>
    </row>
    <row r="73" spans="4:6" x14ac:dyDescent="0.2">
      <c r="D73" s="14"/>
    </row>
    <row r="74" spans="4:6" x14ac:dyDescent="0.2">
      <c r="D74" s="75"/>
      <c r="F74" s="75"/>
    </row>
  </sheetData>
  <sheetProtection algorithmName="SHA-512" hashValue="lH3sB5lwE00zB4r9tYBAa6JEaHDmR5jTrk/j/Hi7g4FooKOrAQnxH2LHw385O3hoAsRDqi1UU9ooSgHUFrqF4g==" saltValue="Ld8AMpKCTF9TQEvRuKKBsQ==" spinCount="100000" sheet="1" objects="1" scenarios="1"/>
  <mergeCells count="3">
    <mergeCell ref="C5:I5"/>
    <mergeCell ref="C6:G6"/>
    <mergeCell ref="B44:C44"/>
  </mergeCells>
  <phoneticPr fontId="3" type="noConversion"/>
  <pageMargins left="0.78740157480314965" right="0.78740157480314965" top="0.98425196850393704" bottom="0.98425196850393704" header="0.47244094488188981" footer="0.47244094488188981"/>
  <pageSetup paperSize="9" scale="65" orientation="portrait" r:id="rId1"/>
  <headerFooter alignWithMargins="0">
    <oddHeader>&amp;L&amp;"Arial,Fett"&amp;12&amp;A</oddHead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24"/>
  <sheetViews>
    <sheetView topLeftCell="A67" zoomScaleNormal="100" zoomScalePageLayoutView="55" workbookViewId="0">
      <selection activeCell="G62" sqref="G62"/>
    </sheetView>
  </sheetViews>
  <sheetFormatPr baseColWidth="10" defaultColWidth="9.140625" defaultRowHeight="12.75" x14ac:dyDescent="0.2"/>
  <cols>
    <col min="1" max="1" width="2.28515625" customWidth="1"/>
    <col min="2" max="2" width="2.85546875" customWidth="1"/>
    <col min="3" max="3" width="54.85546875" customWidth="1"/>
    <col min="4" max="4" width="66.28515625" style="23" hidden="1" customWidth="1"/>
    <col min="5" max="5" width="32.28515625" hidden="1" customWidth="1"/>
    <col min="6" max="6" width="2.28515625" hidden="1" customWidth="1"/>
    <col min="7" max="7" width="31.140625" customWidth="1"/>
    <col min="8" max="8" width="2.42578125" customWidth="1"/>
    <col min="9" max="9" width="10.28515625" style="17" customWidth="1"/>
    <col min="10" max="10" width="10.28515625" customWidth="1"/>
    <col min="11" max="11" width="22.140625" style="18" customWidth="1"/>
  </cols>
  <sheetData>
    <row r="1" spans="1:21" ht="18" hidden="1" x14ac:dyDescent="0.25">
      <c r="A1" s="12" t="s">
        <v>17</v>
      </c>
      <c r="B1" s="13"/>
      <c r="C1" s="13"/>
      <c r="D1" s="14"/>
      <c r="E1" s="13"/>
      <c r="F1" s="13"/>
      <c r="G1" s="15"/>
      <c r="H1" s="16"/>
    </row>
    <row r="2" spans="1:21" ht="12" hidden="1" customHeight="1" x14ac:dyDescent="0.2">
      <c r="A2" s="19"/>
      <c r="B2" s="20"/>
      <c r="C2" s="20"/>
      <c r="D2" s="20"/>
      <c r="E2" s="21"/>
      <c r="F2" s="21"/>
      <c r="G2" s="21"/>
      <c r="I2"/>
      <c r="K2"/>
    </row>
    <row r="3" spans="1:21" ht="12" hidden="1" customHeight="1" x14ac:dyDescent="0.2">
      <c r="B3" s="22"/>
      <c r="I3"/>
      <c r="K3"/>
    </row>
    <row r="4" spans="1:21" ht="27.75" customHeight="1" x14ac:dyDescent="0.25">
      <c r="B4" s="22"/>
      <c r="C4" s="24" t="s">
        <v>80</v>
      </c>
      <c r="D4"/>
      <c r="F4" s="25" t="s">
        <v>19</v>
      </c>
      <c r="G4" s="26"/>
      <c r="I4"/>
      <c r="K4"/>
    </row>
    <row r="5" spans="1:21" ht="147" customHeight="1" x14ac:dyDescent="0.2">
      <c r="B5" s="22"/>
      <c r="C5" s="209" t="s">
        <v>62</v>
      </c>
      <c r="D5" s="209"/>
      <c r="E5" s="209"/>
      <c r="F5" s="209"/>
      <c r="G5" s="209"/>
      <c r="H5" s="209"/>
      <c r="I5" s="209"/>
      <c r="K5"/>
      <c r="L5" s="23"/>
    </row>
    <row r="6" spans="1:21" ht="39" customHeight="1" x14ac:dyDescent="0.2">
      <c r="B6" s="22"/>
      <c r="C6" s="210" t="s">
        <v>84</v>
      </c>
      <c r="D6" s="210"/>
      <c r="E6" s="210"/>
      <c r="F6" s="210"/>
      <c r="G6" s="210"/>
      <c r="I6"/>
      <c r="K6"/>
    </row>
    <row r="7" spans="1:21" x14ac:dyDescent="0.2">
      <c r="A7" s="27" t="s">
        <v>42</v>
      </c>
      <c r="D7" s="28" t="s">
        <v>4</v>
      </c>
      <c r="I7"/>
      <c r="K7"/>
    </row>
    <row r="8" spans="1:21" x14ac:dyDescent="0.2">
      <c r="A8" s="22"/>
      <c r="I8" s="29" t="s">
        <v>63</v>
      </c>
      <c r="K8"/>
    </row>
    <row r="9" spans="1:21" x14ac:dyDescent="0.2">
      <c r="B9" s="97"/>
      <c r="C9" s="98" t="s">
        <v>23</v>
      </c>
      <c r="D9" s="31"/>
      <c r="E9" s="30"/>
      <c r="F9" s="32"/>
      <c r="G9" s="7">
        <f>'Kalkulation Leerrohr'!G9</f>
        <v>0.04</v>
      </c>
      <c r="I9" s="33" t="s">
        <v>85</v>
      </c>
      <c r="K9"/>
    </row>
    <row r="10" spans="1:21" x14ac:dyDescent="0.2">
      <c r="B10" s="97"/>
      <c r="C10" s="98" t="s">
        <v>16</v>
      </c>
      <c r="D10" s="31"/>
      <c r="E10" s="30"/>
      <c r="F10" s="32"/>
      <c r="G10" s="8">
        <f>'Kalkulation Leerrohr'!G10</f>
        <v>1.4999999999999999E-2</v>
      </c>
      <c r="I10" s="33" t="s">
        <v>85</v>
      </c>
      <c r="K10"/>
    </row>
    <row r="11" spans="1:21" x14ac:dyDescent="0.2">
      <c r="B11" s="97"/>
      <c r="C11" s="98" t="s">
        <v>25</v>
      </c>
      <c r="D11" s="31"/>
      <c r="E11" s="32"/>
      <c r="F11" s="32"/>
      <c r="G11" s="8">
        <f>'Kalkulation Leerrohr'!G11</f>
        <v>4.0000000000000001E-3</v>
      </c>
      <c r="I11" s="33" t="s">
        <v>85</v>
      </c>
      <c r="K11"/>
    </row>
    <row r="12" spans="1:21" ht="12.75" customHeight="1" x14ac:dyDescent="0.2">
      <c r="B12" s="97"/>
      <c r="C12" s="1" t="s">
        <v>87</v>
      </c>
      <c r="D12" s="31"/>
      <c r="E12" s="32"/>
      <c r="F12" s="32"/>
      <c r="G12" s="3">
        <f>'Kalkulation Leerrohr'!G12</f>
        <v>8743.2800000000007</v>
      </c>
      <c r="I12" s="213" t="s">
        <v>83</v>
      </c>
      <c r="J12" s="213"/>
      <c r="K12" s="213"/>
      <c r="L12" s="213"/>
      <c r="M12" s="213"/>
      <c r="N12" s="213"/>
      <c r="O12" s="213"/>
      <c r="P12" s="213"/>
      <c r="Q12" s="213"/>
      <c r="R12" s="213"/>
      <c r="S12" s="213"/>
      <c r="T12" s="213"/>
      <c r="U12" s="213"/>
    </row>
    <row r="13" spans="1:21" x14ac:dyDescent="0.2">
      <c r="B13" s="99"/>
      <c r="C13" s="99"/>
      <c r="D13"/>
      <c r="I13" s="213"/>
      <c r="J13" s="213"/>
      <c r="K13" s="213"/>
      <c r="L13" s="213"/>
      <c r="M13" s="213"/>
      <c r="N13" s="213"/>
      <c r="O13" s="213"/>
      <c r="P13" s="213"/>
      <c r="Q13" s="213"/>
      <c r="R13" s="213"/>
      <c r="S13" s="213"/>
      <c r="T13" s="213"/>
      <c r="U13" s="213"/>
    </row>
    <row r="14" spans="1:21" x14ac:dyDescent="0.2">
      <c r="A14" s="108" t="s">
        <v>32</v>
      </c>
      <c r="B14" s="99"/>
      <c r="C14" s="99"/>
      <c r="E14" s="34"/>
      <c r="I14" s="33"/>
      <c r="K14"/>
    </row>
    <row r="15" spans="1:21" x14ac:dyDescent="0.2">
      <c r="B15" s="99"/>
      <c r="C15" s="99"/>
      <c r="E15" s="34"/>
      <c r="I15" s="33"/>
      <c r="K15"/>
    </row>
    <row r="16" spans="1:21" x14ac:dyDescent="0.2">
      <c r="B16" s="100"/>
      <c r="C16" s="100" t="s">
        <v>27</v>
      </c>
      <c r="E16" s="34"/>
      <c r="G16" s="2">
        <f>'Kalkulation Leerrohr'!G16</f>
        <v>728370.55</v>
      </c>
      <c r="I16" s="33" t="s">
        <v>65</v>
      </c>
      <c r="K16"/>
    </row>
    <row r="17" spans="1:11" x14ac:dyDescent="0.2">
      <c r="B17" s="100"/>
      <c r="C17" s="100" t="s">
        <v>31</v>
      </c>
      <c r="E17" s="34"/>
      <c r="G17" s="2">
        <f>'Kalkulation Leerrohr'!G17</f>
        <v>0</v>
      </c>
      <c r="I17" s="33" t="s">
        <v>66</v>
      </c>
      <c r="K17"/>
    </row>
    <row r="18" spans="1:11" ht="15" customHeight="1" x14ac:dyDescent="0.2">
      <c r="B18" s="100"/>
      <c r="C18" s="100" t="s">
        <v>28</v>
      </c>
      <c r="D18" s="36" t="s">
        <v>2</v>
      </c>
      <c r="E18" s="37">
        <v>450000</v>
      </c>
      <c r="F18" s="38"/>
      <c r="G18" s="130">
        <f>SUM(G16:G17)</f>
        <v>728370.55</v>
      </c>
      <c r="H18" s="23"/>
      <c r="I18" s="40"/>
      <c r="K18"/>
    </row>
    <row r="19" spans="1:11" ht="15" customHeight="1" x14ac:dyDescent="0.2">
      <c r="B19" s="100"/>
      <c r="C19" s="100" t="s">
        <v>26</v>
      </c>
      <c r="D19" s="36"/>
      <c r="E19" s="37"/>
      <c r="F19" s="38"/>
      <c r="G19" s="2">
        <f>'Kalkulation Leerrohr'!G19</f>
        <v>437022.33</v>
      </c>
      <c r="H19" s="23"/>
      <c r="I19" s="33" t="s">
        <v>67</v>
      </c>
      <c r="K19"/>
    </row>
    <row r="20" spans="1:11" ht="15" customHeight="1" x14ac:dyDescent="0.2">
      <c r="B20" s="100"/>
      <c r="C20" s="100" t="s">
        <v>20</v>
      </c>
      <c r="D20" s="36"/>
      <c r="E20" s="37"/>
      <c r="F20" s="38"/>
      <c r="G20" s="130">
        <f>G18-G19</f>
        <v>291348.22000000003</v>
      </c>
      <c r="H20" s="23"/>
      <c r="I20" s="40"/>
      <c r="K20"/>
    </row>
    <row r="21" spans="1:11" ht="15" customHeight="1" x14ac:dyDescent="0.2">
      <c r="B21" s="100"/>
      <c r="C21" s="100" t="s">
        <v>6</v>
      </c>
      <c r="D21" s="36" t="s">
        <v>1</v>
      </c>
      <c r="E21" s="41">
        <v>30</v>
      </c>
      <c r="F21" s="38"/>
      <c r="G21" s="131">
        <v>30</v>
      </c>
      <c r="I21" s="40"/>
      <c r="K21"/>
    </row>
    <row r="22" spans="1:11" ht="15" customHeight="1" x14ac:dyDescent="0.2">
      <c r="B22" s="100"/>
      <c r="C22" s="101" t="s">
        <v>7</v>
      </c>
      <c r="D22" s="44" t="s">
        <v>8</v>
      </c>
      <c r="E22" s="45">
        <f>E18/E21</f>
        <v>15000</v>
      </c>
      <c r="F22" s="38"/>
      <c r="G22" s="103">
        <f>G20/G21</f>
        <v>9711.6073333333352</v>
      </c>
      <c r="I22" s="40"/>
      <c r="K22"/>
    </row>
    <row r="23" spans="1:11" ht="15" customHeight="1" x14ac:dyDescent="0.2">
      <c r="B23" s="100"/>
      <c r="C23" s="100" t="s">
        <v>10</v>
      </c>
      <c r="D23" s="36" t="s">
        <v>3</v>
      </c>
      <c r="E23" s="46">
        <v>0.1</v>
      </c>
      <c r="F23" s="38"/>
      <c r="G23" s="132">
        <f>G9</f>
        <v>0.04</v>
      </c>
      <c r="I23" s="40"/>
      <c r="K23"/>
    </row>
    <row r="24" spans="1:11" ht="15" customHeight="1" x14ac:dyDescent="0.2">
      <c r="B24" s="100"/>
      <c r="C24" s="101" t="s">
        <v>9</v>
      </c>
      <c r="D24" s="44" t="s">
        <v>8</v>
      </c>
      <c r="E24" s="45">
        <f>E18/2*E23</f>
        <v>22500</v>
      </c>
      <c r="F24" s="38"/>
      <c r="G24" s="103">
        <f>G20/2*G23</f>
        <v>5826.9644000000008</v>
      </c>
      <c r="I24" s="40"/>
      <c r="K24"/>
    </row>
    <row r="25" spans="1:11" ht="15" customHeight="1" x14ac:dyDescent="0.2">
      <c r="B25" s="100"/>
      <c r="C25" s="100" t="s">
        <v>5</v>
      </c>
      <c r="D25" s="36" t="s">
        <v>14</v>
      </c>
      <c r="E25" s="48">
        <v>10080</v>
      </c>
      <c r="F25" s="38"/>
      <c r="G25" s="133">
        <f>G18*$G$10</f>
        <v>10925.55825</v>
      </c>
      <c r="I25" s="40"/>
      <c r="K25"/>
    </row>
    <row r="26" spans="1:11" ht="15" customHeight="1" x14ac:dyDescent="0.2">
      <c r="B26" s="100"/>
      <c r="C26" s="100" t="s">
        <v>18</v>
      </c>
      <c r="D26" s="36" t="s">
        <v>12</v>
      </c>
      <c r="E26" s="48">
        <v>225</v>
      </c>
      <c r="F26" s="38"/>
      <c r="G26" s="133">
        <f>G18/G21*$G$11</f>
        <v>97.116073333333333</v>
      </c>
      <c r="I26" s="40"/>
      <c r="K26"/>
    </row>
    <row r="27" spans="1:11" ht="13.5" thickBot="1" x14ac:dyDescent="0.25">
      <c r="B27" s="100"/>
      <c r="C27" s="102" t="s">
        <v>0</v>
      </c>
      <c r="D27" s="51"/>
      <c r="E27" s="50">
        <f>E22+E24+E25+E26</f>
        <v>47805</v>
      </c>
      <c r="F27" s="38"/>
      <c r="G27" s="102">
        <f>G22+G24+G25+G26</f>
        <v>26561.24605666667</v>
      </c>
      <c r="I27" s="40"/>
      <c r="K27"/>
    </row>
    <row r="28" spans="1:11" ht="13.5" thickTop="1" x14ac:dyDescent="0.2">
      <c r="B28" s="100"/>
      <c r="C28" s="103"/>
      <c r="D28" s="51"/>
      <c r="E28" s="45"/>
      <c r="F28" s="38"/>
      <c r="G28" s="103"/>
      <c r="I28" s="40"/>
      <c r="K28"/>
    </row>
    <row r="29" spans="1:11" x14ac:dyDescent="0.2">
      <c r="B29" s="99"/>
      <c r="C29" s="99"/>
      <c r="D29"/>
      <c r="I29" s="40"/>
      <c r="K29"/>
    </row>
    <row r="30" spans="1:11" ht="12.95" customHeight="1" x14ac:dyDescent="0.2">
      <c r="A30" s="108" t="s">
        <v>47</v>
      </c>
      <c r="B30" s="99"/>
      <c r="C30" s="99"/>
      <c r="D30" s="109"/>
      <c r="E30" s="99"/>
      <c r="F30" s="110"/>
      <c r="G30" s="99"/>
      <c r="I30" s="40"/>
      <c r="K30"/>
    </row>
    <row r="31" spans="1:11" ht="12.95" customHeight="1" x14ac:dyDescent="0.2">
      <c r="A31" s="99"/>
      <c r="B31" s="99"/>
      <c r="C31" s="99"/>
      <c r="D31" s="109"/>
      <c r="E31" s="99"/>
      <c r="F31" s="110"/>
      <c r="G31" s="99"/>
      <c r="I31" s="40"/>
      <c r="K31"/>
    </row>
    <row r="32" spans="1:11" ht="12.95" customHeight="1" x14ac:dyDescent="0.2">
      <c r="A32" s="99"/>
      <c r="B32" s="103"/>
      <c r="C32" s="103" t="s">
        <v>45</v>
      </c>
      <c r="D32" s="103"/>
      <c r="E32" s="103"/>
      <c r="F32" s="103"/>
      <c r="G32" s="111">
        <f>'Kalkulation Leerrohr'!G32</f>
        <v>0</v>
      </c>
      <c r="I32" s="33" t="s">
        <v>68</v>
      </c>
      <c r="K32"/>
    </row>
    <row r="33" spans="1:11" ht="12.95" customHeight="1" x14ac:dyDescent="0.2">
      <c r="A33" s="99"/>
      <c r="B33" s="99"/>
      <c r="C33" s="99"/>
      <c r="D33" s="109"/>
      <c r="E33" s="99"/>
      <c r="F33" s="110"/>
      <c r="G33" s="99"/>
      <c r="I33" s="40"/>
      <c r="K33"/>
    </row>
    <row r="34" spans="1:11" ht="12.95" customHeight="1" thickBot="1" x14ac:dyDescent="0.25">
      <c r="A34" s="99"/>
      <c r="B34" s="104" t="s">
        <v>41</v>
      </c>
      <c r="C34" s="104"/>
      <c r="D34" s="109"/>
      <c r="E34" s="99"/>
      <c r="F34" s="110"/>
      <c r="G34" s="112">
        <f>SUM(G32+G27)</f>
        <v>26561.24605666667</v>
      </c>
      <c r="I34" s="40"/>
      <c r="K34"/>
    </row>
    <row r="35" spans="1:11" ht="13.5" thickTop="1" x14ac:dyDescent="0.2">
      <c r="A35" s="99"/>
      <c r="B35" s="99"/>
      <c r="C35" s="99"/>
      <c r="D35" s="109"/>
      <c r="E35" s="99"/>
      <c r="F35" s="110"/>
      <c r="G35" s="99"/>
      <c r="I35" s="40"/>
      <c r="K35"/>
    </row>
    <row r="36" spans="1:11" x14ac:dyDescent="0.2">
      <c r="A36" s="99"/>
      <c r="B36" s="105" t="s">
        <v>33</v>
      </c>
      <c r="C36" s="106"/>
      <c r="D36" s="113"/>
      <c r="E36" s="106"/>
      <c r="F36" s="110"/>
      <c r="G36" s="106"/>
      <c r="I36" s="40"/>
      <c r="K36"/>
    </row>
    <row r="37" spans="1:11" x14ac:dyDescent="0.2">
      <c r="A37" s="99"/>
      <c r="B37" s="106"/>
      <c r="C37" s="106" t="s">
        <v>50</v>
      </c>
      <c r="D37" s="113"/>
      <c r="E37" s="114">
        <v>6</v>
      </c>
      <c r="F37" s="110"/>
      <c r="G37" s="5">
        <f>'Kalkulation Leerrohr'!G37</f>
        <v>1</v>
      </c>
      <c r="I37" s="33" t="s">
        <v>69</v>
      </c>
      <c r="K37"/>
    </row>
    <row r="38" spans="1:11" ht="12" customHeight="1" x14ac:dyDescent="0.2">
      <c r="A38" s="99"/>
      <c r="B38" s="106"/>
      <c r="C38" s="106" t="s">
        <v>51</v>
      </c>
      <c r="D38" s="113"/>
      <c r="E38" s="114"/>
      <c r="F38" s="110"/>
      <c r="G38" s="5">
        <f>'Kalkulation Leerrohr'!G38</f>
        <v>0</v>
      </c>
      <c r="I38" s="33" t="s">
        <v>70</v>
      </c>
      <c r="K38"/>
    </row>
    <row r="39" spans="1:11" x14ac:dyDescent="0.2">
      <c r="A39" s="99"/>
      <c r="B39" s="106"/>
      <c r="C39" s="106" t="s">
        <v>52</v>
      </c>
      <c r="D39" s="113"/>
      <c r="E39" s="114">
        <v>2</v>
      </c>
      <c r="F39" s="110"/>
      <c r="G39" s="115">
        <f>IF(G41=0,1,0)</f>
        <v>0</v>
      </c>
      <c r="I39" s="40"/>
      <c r="K39"/>
    </row>
    <row r="40" spans="1:11" x14ac:dyDescent="0.2">
      <c r="A40" s="99"/>
      <c r="B40" s="106"/>
      <c r="C40" s="107" t="s">
        <v>53</v>
      </c>
      <c r="D40" s="113"/>
      <c r="E40" s="114"/>
      <c r="F40" s="110"/>
      <c r="G40" s="114">
        <f>IF(SUM(G37:G39)&lt;&gt;0,SUM(G37:G39),1)</f>
        <v>1</v>
      </c>
      <c r="I40" s="40"/>
      <c r="K40"/>
    </row>
    <row r="41" spans="1:11" x14ac:dyDescent="0.2">
      <c r="A41" s="99"/>
      <c r="B41" s="106"/>
      <c r="C41" s="106" t="s">
        <v>54</v>
      </c>
      <c r="D41" s="113"/>
      <c r="E41" s="114">
        <v>2</v>
      </c>
      <c r="F41" s="110"/>
      <c r="G41" s="6">
        <v>1</v>
      </c>
      <c r="I41" s="33" t="s">
        <v>89</v>
      </c>
      <c r="K41"/>
    </row>
    <row r="42" spans="1:11" x14ac:dyDescent="0.2">
      <c r="A42" s="99"/>
      <c r="B42" s="99"/>
      <c r="C42" s="99"/>
      <c r="D42" s="116"/>
      <c r="E42" s="99"/>
      <c r="F42" s="99"/>
      <c r="G42" s="99"/>
      <c r="I42" s="40"/>
    </row>
    <row r="43" spans="1:11" x14ac:dyDescent="0.2">
      <c r="A43" s="99"/>
      <c r="B43" s="99"/>
      <c r="C43" s="99"/>
      <c r="D43" s="109"/>
      <c r="E43" s="99"/>
      <c r="F43" s="110"/>
      <c r="G43" s="117"/>
      <c r="I43" s="40"/>
      <c r="K43"/>
    </row>
    <row r="44" spans="1:11" ht="26.25" customHeight="1" thickBot="1" x14ac:dyDescent="0.25">
      <c r="A44" s="99"/>
      <c r="B44" s="214" t="s">
        <v>34</v>
      </c>
      <c r="C44" s="214"/>
      <c r="D44" s="118"/>
      <c r="E44" s="112" t="e">
        <f>#REF!/(E37+E39)/E41</f>
        <v>#REF!</v>
      </c>
      <c r="F44" s="110"/>
      <c r="G44" s="112">
        <f>IF(G41&gt;0,(G34/G40/G41), G34/G40)</f>
        <v>26561.24605666667</v>
      </c>
      <c r="I44" s="40"/>
    </row>
    <row r="45" spans="1:11" ht="12.95" hidden="1" customHeight="1" thickTop="1" x14ac:dyDescent="0.2">
      <c r="A45" s="99"/>
      <c r="B45" s="119"/>
      <c r="C45" s="119"/>
      <c r="D45" s="119"/>
      <c r="E45" s="120"/>
      <c r="F45" s="110"/>
      <c r="G45" s="120"/>
      <c r="I45" s="40"/>
      <c r="K45"/>
    </row>
    <row r="46" spans="1:11" ht="12.95" hidden="1" customHeight="1" thickTop="1" x14ac:dyDescent="0.2">
      <c r="A46" s="99"/>
      <c r="B46" s="119"/>
      <c r="C46" s="119"/>
      <c r="D46" s="119"/>
      <c r="E46" s="120"/>
      <c r="F46" s="110"/>
      <c r="G46" s="120"/>
      <c r="I46" s="40"/>
      <c r="K46"/>
    </row>
    <row r="47" spans="1:11" ht="12.95" hidden="1" customHeight="1" thickTop="1" x14ac:dyDescent="0.2">
      <c r="A47" s="99"/>
      <c r="B47" s="119"/>
      <c r="C47" s="119"/>
      <c r="D47" s="119"/>
      <c r="E47" s="120"/>
      <c r="F47" s="110"/>
      <c r="G47" s="120"/>
      <c r="I47" s="40"/>
      <c r="K47"/>
    </row>
    <row r="48" spans="1:11" ht="12.95" customHeight="1" thickTop="1" x14ac:dyDescent="0.2">
      <c r="A48" s="99"/>
      <c r="B48" s="99"/>
      <c r="C48" s="99"/>
      <c r="D48" s="99"/>
      <c r="E48" s="99"/>
      <c r="F48" s="99"/>
      <c r="G48" s="99"/>
      <c r="I48" s="40"/>
      <c r="K48"/>
    </row>
    <row r="49" spans="1:11" ht="12.95" customHeight="1" x14ac:dyDescent="0.2">
      <c r="A49" s="108" t="s">
        <v>43</v>
      </c>
      <c r="B49" s="99"/>
      <c r="C49" s="99"/>
      <c r="D49" s="109"/>
      <c r="E49" s="99"/>
      <c r="F49" s="110"/>
      <c r="G49" s="99"/>
      <c r="I49" s="40"/>
      <c r="K49"/>
    </row>
    <row r="50" spans="1:11" ht="12.95" customHeight="1" x14ac:dyDescent="0.2">
      <c r="A50" s="99"/>
      <c r="B50" s="121"/>
      <c r="C50" s="122" t="s">
        <v>29</v>
      </c>
      <c r="D50" s="119"/>
      <c r="E50" s="120"/>
      <c r="F50" s="110"/>
      <c r="G50" s="123" t="str">
        <f>IF(G41=0,(G44/12), "(im LWL-Preis enthalten)")</f>
        <v>(im LWL-Preis enthalten)</v>
      </c>
      <c r="I50" s="40"/>
      <c r="K50"/>
    </row>
    <row r="51" spans="1:11" ht="12.95" customHeight="1" x14ac:dyDescent="0.2">
      <c r="A51" s="99"/>
      <c r="B51" s="124"/>
      <c r="C51" s="125" t="s">
        <v>22</v>
      </c>
      <c r="D51" s="126"/>
      <c r="E51" s="127"/>
      <c r="F51" s="128"/>
      <c r="G51" s="99">
        <f>G12</f>
        <v>8743.2800000000007</v>
      </c>
      <c r="I51" s="40"/>
      <c r="K51"/>
    </row>
    <row r="52" spans="1:11" ht="17.100000000000001" customHeight="1" x14ac:dyDescent="0.25">
      <c r="A52" s="99"/>
      <c r="B52" s="121"/>
      <c r="C52" s="122" t="s">
        <v>30</v>
      </c>
      <c r="D52" s="119"/>
      <c r="E52" s="120"/>
      <c r="F52" s="110"/>
      <c r="G52" s="129" t="str">
        <f>IF(G41=0,(G50/G51), "(im LWL-Preis enthalten)")</f>
        <v>(im LWL-Preis enthalten)</v>
      </c>
      <c r="I52" s="40"/>
      <c r="K52"/>
    </row>
    <row r="53" spans="1:11" x14ac:dyDescent="0.2">
      <c r="D53" s="14"/>
      <c r="F53" s="38"/>
      <c r="I53" s="40"/>
      <c r="K53"/>
    </row>
    <row r="54" spans="1:11" ht="12" hidden="1" customHeight="1" x14ac:dyDescent="0.2">
      <c r="D54" s="14"/>
      <c r="F54" s="38"/>
      <c r="I54" s="40"/>
      <c r="K54"/>
    </row>
    <row r="55" spans="1:11" ht="12.75" customHeight="1" x14ac:dyDescent="0.2">
      <c r="A55" s="22" t="s">
        <v>35</v>
      </c>
      <c r="D55" s="14"/>
      <c r="F55" s="38"/>
      <c r="I55" s="40"/>
      <c r="K55"/>
    </row>
    <row r="56" spans="1:11" x14ac:dyDescent="0.2">
      <c r="A56" s="22"/>
      <c r="D56" s="14"/>
      <c r="F56" s="38"/>
      <c r="I56" s="40"/>
      <c r="K56"/>
    </row>
    <row r="57" spans="1:11" ht="12.75" customHeight="1" x14ac:dyDescent="0.2">
      <c r="B57" s="76" t="s">
        <v>11</v>
      </c>
      <c r="C57" s="35"/>
      <c r="D57" s="36"/>
      <c r="E57" s="35"/>
      <c r="F57" s="38"/>
      <c r="G57" s="35"/>
      <c r="I57" s="40"/>
      <c r="K57"/>
    </row>
    <row r="58" spans="1:11" ht="15" customHeight="1" x14ac:dyDescent="0.2">
      <c r="B58" s="76"/>
      <c r="C58" s="35" t="s">
        <v>36</v>
      </c>
      <c r="D58" s="36" t="s">
        <v>2</v>
      </c>
      <c r="E58" s="37">
        <v>12500</v>
      </c>
      <c r="F58" s="38"/>
      <c r="G58" s="2">
        <v>115655</v>
      </c>
      <c r="I58" s="33" t="s">
        <v>65</v>
      </c>
      <c r="K58"/>
    </row>
    <row r="59" spans="1:11" ht="15" customHeight="1" x14ac:dyDescent="0.2">
      <c r="B59" s="76"/>
      <c r="C59" s="35" t="s">
        <v>37</v>
      </c>
      <c r="D59" s="36"/>
      <c r="E59" s="37"/>
      <c r="F59" s="38"/>
      <c r="G59" s="2" t="s">
        <v>61</v>
      </c>
      <c r="I59" s="33" t="s">
        <v>66</v>
      </c>
      <c r="K59"/>
    </row>
    <row r="60" spans="1:11" ht="15" customHeight="1" x14ac:dyDescent="0.2">
      <c r="B60" s="76"/>
      <c r="C60" s="35" t="s">
        <v>38</v>
      </c>
      <c r="D60" s="36"/>
      <c r="E60" s="37"/>
      <c r="F60" s="38"/>
      <c r="G60" s="39">
        <f>SUM(G58:G59)</f>
        <v>115655</v>
      </c>
      <c r="I60" s="40"/>
      <c r="K60"/>
    </row>
    <row r="61" spans="1:11" ht="15" customHeight="1" x14ac:dyDescent="0.2">
      <c r="B61" s="76"/>
      <c r="C61" s="35" t="s">
        <v>26</v>
      </c>
      <c r="D61" s="36"/>
      <c r="E61" s="37"/>
      <c r="F61" s="38"/>
      <c r="G61" s="2">
        <v>69393</v>
      </c>
      <c r="I61" s="33" t="s">
        <v>67</v>
      </c>
      <c r="K61"/>
    </row>
    <row r="62" spans="1:11" ht="15" customHeight="1" x14ac:dyDescent="0.2">
      <c r="B62" s="76"/>
      <c r="C62" s="35" t="s">
        <v>21</v>
      </c>
      <c r="D62" s="36"/>
      <c r="E62" s="35"/>
      <c r="F62" s="38"/>
      <c r="G62" s="39">
        <f>G60-G61</f>
        <v>46262</v>
      </c>
      <c r="I62" s="40"/>
      <c r="K62"/>
    </row>
    <row r="63" spans="1:11" ht="15" customHeight="1" x14ac:dyDescent="0.2">
      <c r="B63" s="76"/>
      <c r="C63" s="35" t="s">
        <v>6</v>
      </c>
      <c r="D63" s="36" t="s">
        <v>15</v>
      </c>
      <c r="E63" s="41">
        <v>20</v>
      </c>
      <c r="F63" s="38"/>
      <c r="G63" s="42">
        <v>20</v>
      </c>
      <c r="H63" s="77"/>
      <c r="I63" s="40"/>
      <c r="K63"/>
    </row>
    <row r="64" spans="1:11" ht="15" customHeight="1" x14ac:dyDescent="0.2">
      <c r="B64" s="76"/>
      <c r="C64" s="43" t="s">
        <v>7</v>
      </c>
      <c r="D64" s="44" t="s">
        <v>8</v>
      </c>
      <c r="E64" s="45">
        <f>E58/E63</f>
        <v>625</v>
      </c>
      <c r="F64" s="38"/>
      <c r="G64" s="45">
        <f>G62/G63</f>
        <v>2313.1</v>
      </c>
      <c r="H64" s="77"/>
      <c r="I64" s="40"/>
      <c r="K64"/>
    </row>
    <row r="65" spans="1:11" ht="15" customHeight="1" x14ac:dyDescent="0.2">
      <c r="B65" s="76"/>
      <c r="C65" s="35" t="s">
        <v>10</v>
      </c>
      <c r="D65" s="36" t="s">
        <v>13</v>
      </c>
      <c r="E65" s="47">
        <f>E23</f>
        <v>0.1</v>
      </c>
      <c r="F65" s="38"/>
      <c r="G65" s="47">
        <f>G23</f>
        <v>0.04</v>
      </c>
      <c r="I65" s="40"/>
      <c r="K65"/>
    </row>
    <row r="66" spans="1:11" ht="15" customHeight="1" x14ac:dyDescent="0.2">
      <c r="B66" s="76"/>
      <c r="C66" s="43" t="s">
        <v>9</v>
      </c>
      <c r="D66" s="44" t="s">
        <v>8</v>
      </c>
      <c r="E66" s="45">
        <f>E58/2*E65</f>
        <v>625</v>
      </c>
      <c r="F66" s="38"/>
      <c r="G66" s="45">
        <f>G62/2*G65</f>
        <v>925.24</v>
      </c>
      <c r="I66" s="40"/>
      <c r="K66"/>
    </row>
    <row r="67" spans="1:11" ht="15" customHeight="1" x14ac:dyDescent="0.2">
      <c r="B67" s="76"/>
      <c r="C67" s="35" t="s">
        <v>5</v>
      </c>
      <c r="D67" s="36"/>
      <c r="E67" s="48">
        <v>280</v>
      </c>
      <c r="F67" s="38"/>
      <c r="G67" s="49">
        <f>G58*$G$10</f>
        <v>1734.825</v>
      </c>
      <c r="I67" s="40"/>
      <c r="K67"/>
    </row>
    <row r="68" spans="1:11" ht="13.5" thickBot="1" x14ac:dyDescent="0.25">
      <c r="B68" s="76"/>
      <c r="C68" s="50" t="s">
        <v>0</v>
      </c>
      <c r="D68" s="51"/>
      <c r="E68" s="50">
        <f>E64+E66+E67</f>
        <v>1530</v>
      </c>
      <c r="F68" s="38"/>
      <c r="G68" s="50">
        <f>G64+G66+G67</f>
        <v>4973.165</v>
      </c>
      <c r="I68" s="40"/>
      <c r="K68"/>
    </row>
    <row r="69" spans="1:11" ht="13.5" thickTop="1" x14ac:dyDescent="0.2">
      <c r="D69"/>
      <c r="I69" s="40"/>
      <c r="K69"/>
    </row>
    <row r="70" spans="1:11" ht="12.95" customHeight="1" x14ac:dyDescent="0.2">
      <c r="A70" s="22" t="s">
        <v>48</v>
      </c>
      <c r="D70" s="14"/>
      <c r="F70" s="38"/>
      <c r="I70" s="40"/>
      <c r="K70"/>
    </row>
    <row r="71" spans="1:11" ht="12.95" customHeight="1" x14ac:dyDescent="0.2">
      <c r="D71" s="14"/>
      <c r="F71" s="38"/>
      <c r="I71" s="40"/>
      <c r="K71"/>
    </row>
    <row r="72" spans="1:11" ht="12.95" customHeight="1" x14ac:dyDescent="0.2">
      <c r="B72" s="45"/>
      <c r="C72" s="45" t="s">
        <v>44</v>
      </c>
      <c r="D72" s="45"/>
      <c r="E72" s="45"/>
      <c r="F72" s="45"/>
      <c r="G72" s="4">
        <v>0</v>
      </c>
      <c r="I72" s="40"/>
      <c r="K72"/>
    </row>
    <row r="73" spans="1:11" ht="12.95" customHeight="1" x14ac:dyDescent="0.2">
      <c r="D73" s="14"/>
      <c r="F73" s="38"/>
      <c r="I73" s="40"/>
      <c r="K73"/>
    </row>
    <row r="74" spans="1:11" ht="12.95" customHeight="1" thickBot="1" x14ac:dyDescent="0.25">
      <c r="B74" s="52" t="s">
        <v>46</v>
      </c>
      <c r="C74" s="52"/>
      <c r="D74" s="14"/>
      <c r="F74" s="38"/>
      <c r="G74" s="53">
        <f>SUM(G72+G68)</f>
        <v>4973.165</v>
      </c>
      <c r="I74" s="40"/>
      <c r="K74"/>
    </row>
    <row r="75" spans="1:11" ht="13.5" thickTop="1" x14ac:dyDescent="0.2">
      <c r="B75" s="78"/>
      <c r="D75" s="14"/>
      <c r="F75" s="38"/>
      <c r="I75" s="40"/>
      <c r="K75"/>
    </row>
    <row r="76" spans="1:11" ht="27" customHeight="1" thickBot="1" x14ac:dyDescent="0.25">
      <c r="B76" s="211" t="s">
        <v>39</v>
      </c>
      <c r="C76" s="211"/>
      <c r="D76" s="79"/>
      <c r="E76" s="53" t="e">
        <f>E44+E68</f>
        <v>#REF!</v>
      </c>
      <c r="F76" s="38"/>
      <c r="G76" s="80">
        <f>IF($G$41=0,"Kein LWL nachgefragt",(G44+G74))</f>
        <v>31534.411056666671</v>
      </c>
      <c r="I76" s="40"/>
      <c r="K76"/>
    </row>
    <row r="77" spans="1:11" ht="13.5" thickTop="1" x14ac:dyDescent="0.2">
      <c r="B77" s="78"/>
      <c r="D77" s="14"/>
      <c r="F77" s="38"/>
      <c r="I77" s="40"/>
    </row>
    <row r="78" spans="1:11" ht="12.75" customHeight="1" x14ac:dyDescent="0.2">
      <c r="B78" s="54" t="s">
        <v>24</v>
      </c>
      <c r="C78" s="55"/>
      <c r="D78" s="56"/>
      <c r="E78" s="55"/>
      <c r="F78" s="38"/>
      <c r="G78" s="55"/>
      <c r="I78" s="40"/>
    </row>
    <row r="79" spans="1:11" x14ac:dyDescent="0.2">
      <c r="B79" s="55"/>
      <c r="C79" s="55" t="s">
        <v>55</v>
      </c>
      <c r="D79" s="56"/>
      <c r="E79" s="57">
        <v>12</v>
      </c>
      <c r="F79" s="38"/>
      <c r="G79" s="5">
        <v>3</v>
      </c>
      <c r="I79" s="33" t="s">
        <v>71</v>
      </c>
    </row>
    <row r="80" spans="1:11" x14ac:dyDescent="0.2">
      <c r="B80" s="55"/>
      <c r="C80" s="55" t="s">
        <v>56</v>
      </c>
      <c r="D80" s="56"/>
      <c r="E80" s="57">
        <v>12</v>
      </c>
      <c r="F80" s="38"/>
      <c r="G80" s="5">
        <v>0</v>
      </c>
      <c r="I80" s="33" t="s">
        <v>72</v>
      </c>
    </row>
    <row r="81" spans="1:11" x14ac:dyDescent="0.2">
      <c r="B81" s="55"/>
      <c r="C81" s="55" t="s">
        <v>57</v>
      </c>
      <c r="D81" s="56"/>
      <c r="E81" s="57">
        <v>2</v>
      </c>
      <c r="F81" s="38"/>
      <c r="G81" s="58">
        <v>2</v>
      </c>
      <c r="I81" s="40"/>
      <c r="K81"/>
    </row>
    <row r="82" spans="1:11" x14ac:dyDescent="0.2">
      <c r="B82" s="55"/>
      <c r="C82" s="59" t="s">
        <v>58</v>
      </c>
      <c r="D82" s="56"/>
      <c r="E82" s="57"/>
      <c r="F82" s="38"/>
      <c r="G82" s="81">
        <f>SUM(G79:G81)</f>
        <v>5</v>
      </c>
      <c r="I82" s="33" t="s">
        <v>82</v>
      </c>
      <c r="K82"/>
    </row>
    <row r="83" spans="1:11" x14ac:dyDescent="0.2">
      <c r="B83" s="78"/>
      <c r="D83" s="14"/>
      <c r="F83" s="38"/>
      <c r="I83" s="40"/>
    </row>
    <row r="84" spans="1:11" ht="27" customHeight="1" thickBot="1" x14ac:dyDescent="0.25">
      <c r="B84" s="215" t="s">
        <v>49</v>
      </c>
      <c r="C84" s="215"/>
      <c r="D84" s="53"/>
      <c r="E84" s="53" t="e">
        <f>E76/E82</f>
        <v>#REF!</v>
      </c>
      <c r="F84" s="53"/>
      <c r="G84" s="80">
        <f>IF($G$41=0,"Kein LWL nachgefragt",(G76/G82))</f>
        <v>6306.8822113333345</v>
      </c>
      <c r="I84" s="40"/>
    </row>
    <row r="85" spans="1:11" ht="13.5" thickTop="1" x14ac:dyDescent="0.2">
      <c r="B85" s="78"/>
      <c r="D85" s="14"/>
      <c r="F85" s="38"/>
      <c r="I85" s="40"/>
    </row>
    <row r="86" spans="1:11" hidden="1" x14ac:dyDescent="0.2">
      <c r="B86" s="78"/>
      <c r="D86" s="14"/>
      <c r="F86" s="38"/>
      <c r="I86" s="40"/>
    </row>
    <row r="87" spans="1:11" x14ac:dyDescent="0.2">
      <c r="A87" s="22" t="s">
        <v>43</v>
      </c>
      <c r="I87" s="40"/>
    </row>
    <row r="88" spans="1:11" hidden="1" x14ac:dyDescent="0.2">
      <c r="B88" s="64"/>
      <c r="C88" s="82" t="s">
        <v>40</v>
      </c>
      <c r="D88" s="83"/>
      <c r="E88" s="84"/>
      <c r="F88" s="85"/>
      <c r="G88" s="86">
        <f>IF($G$41=0,"Kein Kabel im Duct",(G84/12))</f>
        <v>525.57351761111124</v>
      </c>
      <c r="H88" s="27"/>
      <c r="I88"/>
      <c r="J88" s="27"/>
    </row>
    <row r="89" spans="1:11" x14ac:dyDescent="0.2">
      <c r="A89" s="22"/>
      <c r="B89" s="67"/>
      <c r="C89" s="68" t="s">
        <v>22</v>
      </c>
      <c r="D89" s="87"/>
      <c r="E89" s="88"/>
      <c r="F89" s="67"/>
      <c r="G89" s="89">
        <f>G12</f>
        <v>8743.2800000000007</v>
      </c>
      <c r="I89"/>
      <c r="K89"/>
    </row>
    <row r="90" spans="1:11" x14ac:dyDescent="0.2">
      <c r="B90" s="90"/>
      <c r="C90" s="68" t="s">
        <v>59</v>
      </c>
      <c r="D90" s="91"/>
      <c r="E90" s="67"/>
      <c r="F90" s="71"/>
      <c r="G90" s="92">
        <f>IF($G$41=0,"Kein LWL nachgefragt",(G88/G89))</f>
        <v>6.0111710663630948E-2</v>
      </c>
      <c r="I90"/>
    </row>
    <row r="91" spans="1:11" ht="15.75" x14ac:dyDescent="0.25">
      <c r="B91" s="64"/>
      <c r="C91" s="82" t="s">
        <v>60</v>
      </c>
      <c r="D91" s="83"/>
      <c r="E91" s="84"/>
      <c r="F91" s="85"/>
      <c r="G91" s="72">
        <f>IF($G$41=0,"Kein LWL nachgefragt",G90*G81)</f>
        <v>0.1202234213272619</v>
      </c>
      <c r="I91"/>
    </row>
    <row r="92" spans="1:11" x14ac:dyDescent="0.2">
      <c r="D92" s="14"/>
      <c r="F92" s="38"/>
    </row>
    <row r="93" spans="1:11" x14ac:dyDescent="0.2">
      <c r="D93" s="14"/>
      <c r="F93" s="38"/>
    </row>
    <row r="94" spans="1:11" x14ac:dyDescent="0.2">
      <c r="B94" s="78"/>
      <c r="D94" s="212"/>
      <c r="F94" s="75"/>
    </row>
    <row r="95" spans="1:11" x14ac:dyDescent="0.2">
      <c r="A95" s="93"/>
      <c r="B95" s="93"/>
      <c r="C95" s="73"/>
      <c r="D95" s="212"/>
      <c r="F95" s="75"/>
    </row>
    <row r="96" spans="1:11" x14ac:dyDescent="0.2">
      <c r="A96" s="93"/>
      <c r="B96" s="93"/>
      <c r="C96" s="73"/>
      <c r="D96" s="94"/>
      <c r="F96" s="95"/>
    </row>
    <row r="97" spans="1:6" x14ac:dyDescent="0.2">
      <c r="A97" s="93"/>
      <c r="B97" s="93"/>
      <c r="C97" s="73"/>
      <c r="D97" s="94"/>
      <c r="F97" s="96"/>
    </row>
    <row r="98" spans="1:6" x14ac:dyDescent="0.2">
      <c r="A98" s="93"/>
      <c r="B98" s="93"/>
      <c r="C98" s="73"/>
      <c r="D98" s="94"/>
      <c r="F98" s="96"/>
    </row>
    <row r="99" spans="1:6" x14ac:dyDescent="0.2">
      <c r="A99" s="93"/>
      <c r="B99" s="93"/>
      <c r="C99" s="73"/>
      <c r="D99" s="94"/>
      <c r="F99" s="96"/>
    </row>
    <row r="100" spans="1:6" x14ac:dyDescent="0.2">
      <c r="A100" s="93"/>
      <c r="B100" s="93"/>
      <c r="C100" s="73"/>
      <c r="D100" s="94"/>
      <c r="F100" s="96"/>
    </row>
    <row r="101" spans="1:6" x14ac:dyDescent="0.2">
      <c r="B101" s="22"/>
      <c r="D101" s="14"/>
      <c r="F101" s="38"/>
    </row>
    <row r="102" spans="1:6" x14ac:dyDescent="0.2">
      <c r="D102" s="14"/>
      <c r="F102" s="38"/>
    </row>
    <row r="103" spans="1:6" x14ac:dyDescent="0.2">
      <c r="D103" s="14"/>
      <c r="F103" s="38"/>
    </row>
    <row r="104" spans="1:6" x14ac:dyDescent="0.2">
      <c r="D104" s="14"/>
      <c r="F104" s="38"/>
    </row>
    <row r="105" spans="1:6" x14ac:dyDescent="0.2">
      <c r="C105" s="73"/>
      <c r="D105" s="14"/>
      <c r="F105" s="38"/>
    </row>
    <row r="106" spans="1:6" x14ac:dyDescent="0.2">
      <c r="D106" s="14"/>
      <c r="F106" s="38"/>
    </row>
    <row r="107" spans="1:6" x14ac:dyDescent="0.2">
      <c r="D107" s="14"/>
      <c r="F107" s="38"/>
    </row>
    <row r="108" spans="1:6" x14ac:dyDescent="0.2">
      <c r="D108" s="14"/>
      <c r="F108" s="38"/>
    </row>
    <row r="109" spans="1:6" x14ac:dyDescent="0.2">
      <c r="C109" s="73"/>
      <c r="D109" s="14"/>
      <c r="F109" s="38"/>
    </row>
    <row r="110" spans="1:6" x14ac:dyDescent="0.2">
      <c r="D110" s="14"/>
      <c r="F110" s="74"/>
    </row>
    <row r="111" spans="1:6" x14ac:dyDescent="0.2">
      <c r="D111" s="14"/>
      <c r="F111" s="74"/>
    </row>
    <row r="112" spans="1:6" x14ac:dyDescent="0.2">
      <c r="D112" s="14"/>
      <c r="F112" s="74"/>
    </row>
    <row r="113" spans="4:6" x14ac:dyDescent="0.2">
      <c r="D113" s="14"/>
      <c r="F113" s="74"/>
    </row>
    <row r="114" spans="4:6" x14ac:dyDescent="0.2">
      <c r="D114" s="14"/>
      <c r="F114" s="74"/>
    </row>
    <row r="115" spans="4:6" x14ac:dyDescent="0.2">
      <c r="D115" s="75"/>
      <c r="F115" s="75"/>
    </row>
    <row r="116" spans="4:6" x14ac:dyDescent="0.2">
      <c r="D116" s="75"/>
      <c r="F116" s="75"/>
    </row>
    <row r="117" spans="4:6" x14ac:dyDescent="0.2">
      <c r="D117" s="75"/>
      <c r="F117" s="75"/>
    </row>
    <row r="118" spans="4:6" x14ac:dyDescent="0.2">
      <c r="D118" s="14"/>
    </row>
    <row r="119" spans="4:6" x14ac:dyDescent="0.2">
      <c r="D119" s="14"/>
    </row>
    <row r="120" spans="4:6" x14ac:dyDescent="0.2">
      <c r="D120" s="75"/>
      <c r="F120" s="75"/>
    </row>
    <row r="121" spans="4:6" x14ac:dyDescent="0.2">
      <c r="D121" s="75"/>
      <c r="F121" s="75"/>
    </row>
    <row r="122" spans="4:6" x14ac:dyDescent="0.2">
      <c r="D122" s="14"/>
    </row>
    <row r="123" spans="4:6" x14ac:dyDescent="0.2">
      <c r="D123" s="14"/>
    </row>
    <row r="124" spans="4:6" x14ac:dyDescent="0.2">
      <c r="D124" s="75"/>
      <c r="F124" s="75"/>
    </row>
  </sheetData>
  <sheetProtection algorithmName="SHA-512" hashValue="B2zXSs2dtifmp2gK39XNxKc/oLJ1drhdPeURksOzELY9DYskAdE0NbJ9XkLRqkKA3aJg2bnczsLXhao9eLa14Q==" saltValue="GozSlrtePclLMNlDtFACjw==" spinCount="100000" sheet="1" objects="1" scenarios="1"/>
  <mergeCells count="7">
    <mergeCell ref="D94:D95"/>
    <mergeCell ref="I12:U13"/>
    <mergeCell ref="C5:I5"/>
    <mergeCell ref="C6:G6"/>
    <mergeCell ref="B44:C44"/>
    <mergeCell ref="B76:C76"/>
    <mergeCell ref="B84:C84"/>
  </mergeCells>
  <pageMargins left="0.78740157480314965" right="0.78740157480314965" top="0.98425196850393704" bottom="0.98425196850393704" header="0.47244094488188981" footer="0.47244094488188981"/>
  <pageSetup paperSize="9" scale="65" orientation="portrait" r:id="rId1"/>
  <headerFooter alignWithMargins="0">
    <oddHeader>&amp;L&amp;"Arial,Fett"&amp;12&amp;A</oddHeader>
  </headerFooter>
  <ignoredErrors>
    <ignoredError sqref="G9:G12 G16:G17 G19 G37:G3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6"/>
  <sheetViews>
    <sheetView tabSelected="1" topLeftCell="A4" zoomScaleNormal="100" zoomScalePageLayoutView="57" workbookViewId="0">
      <selection activeCell="G22" sqref="G22"/>
    </sheetView>
  </sheetViews>
  <sheetFormatPr baseColWidth="10" defaultColWidth="11.42578125" defaultRowHeight="12.75" x14ac:dyDescent="0.2"/>
  <cols>
    <col min="1" max="1" width="2.28515625" customWidth="1"/>
    <col min="2" max="2" width="2.85546875" customWidth="1"/>
    <col min="3" max="3" width="54.85546875" customWidth="1"/>
    <col min="4" max="4" width="10" hidden="1" customWidth="1"/>
    <col min="5" max="5" width="0" hidden="1" customWidth="1"/>
    <col min="6" max="6" width="0.140625" hidden="1" customWidth="1"/>
    <col min="7" max="7" width="31.140625" customWidth="1"/>
    <col min="8" max="8" width="2.140625" customWidth="1"/>
  </cols>
  <sheetData>
    <row r="1" spans="1:12" ht="12.75" hidden="1" customHeight="1" x14ac:dyDescent="0.2"/>
    <row r="2" spans="1:12" ht="12.75" hidden="1" customHeight="1" x14ac:dyDescent="0.2"/>
    <row r="3" spans="1:12" ht="12.75" hidden="1" customHeight="1" x14ac:dyDescent="0.2"/>
    <row r="4" spans="1:12" ht="27.75" customHeight="1" x14ac:dyDescent="0.25">
      <c r="B4" s="22"/>
      <c r="C4" s="24" t="s">
        <v>81</v>
      </c>
      <c r="F4" s="25" t="s">
        <v>19</v>
      </c>
      <c r="G4" s="26"/>
    </row>
    <row r="5" spans="1:12" ht="38.25" customHeight="1" x14ac:dyDescent="0.2">
      <c r="B5" s="22"/>
      <c r="C5" s="209" t="s">
        <v>78</v>
      </c>
      <c r="D5" s="209"/>
      <c r="E5" s="209"/>
      <c r="F5" s="209"/>
      <c r="G5" s="209"/>
      <c r="H5" s="209"/>
      <c r="I5" s="209"/>
      <c r="L5" s="23"/>
    </row>
    <row r="6" spans="1:12" ht="39.75" customHeight="1" x14ac:dyDescent="0.2">
      <c r="B6" s="22"/>
      <c r="C6" s="210" t="s">
        <v>73</v>
      </c>
      <c r="D6" s="210"/>
      <c r="E6" s="210"/>
      <c r="F6" s="210"/>
      <c r="G6" s="210"/>
    </row>
    <row r="7" spans="1:12" ht="25.5" x14ac:dyDescent="0.2">
      <c r="A7" s="27" t="s">
        <v>42</v>
      </c>
      <c r="D7" s="28" t="s">
        <v>4</v>
      </c>
      <c r="H7" s="40"/>
    </row>
    <row r="8" spans="1:12" x14ac:dyDescent="0.2">
      <c r="A8" s="22"/>
      <c r="D8" s="23"/>
      <c r="I8" s="29" t="s">
        <v>63</v>
      </c>
    </row>
    <row r="9" spans="1:12" x14ac:dyDescent="0.2">
      <c r="B9" s="30"/>
      <c r="C9" s="1" t="s">
        <v>74</v>
      </c>
      <c r="D9" s="31"/>
      <c r="E9" s="30"/>
      <c r="F9" s="32"/>
      <c r="G9" s="9"/>
      <c r="I9" s="33"/>
    </row>
    <row r="10" spans="1:12" ht="38.25" x14ac:dyDescent="0.2">
      <c r="B10" s="30"/>
      <c r="C10" s="1" t="s">
        <v>90</v>
      </c>
      <c r="D10" s="31"/>
      <c r="E10" s="30"/>
      <c r="F10" s="32"/>
      <c r="G10" s="10">
        <v>12</v>
      </c>
      <c r="I10" s="33"/>
    </row>
    <row r="11" spans="1:12" x14ac:dyDescent="0.2">
      <c r="B11" s="30"/>
      <c r="C11" s="1" t="s">
        <v>75</v>
      </c>
      <c r="D11" s="31"/>
      <c r="E11" s="32"/>
      <c r="F11" s="32"/>
      <c r="G11" s="11">
        <v>8.86</v>
      </c>
      <c r="I11" s="33"/>
    </row>
    <row r="12" spans="1:12" x14ac:dyDescent="0.2">
      <c r="H12" s="33"/>
    </row>
    <row r="13" spans="1:12" x14ac:dyDescent="0.2">
      <c r="A13" s="22" t="s">
        <v>76</v>
      </c>
      <c r="D13" s="23"/>
      <c r="E13" s="34"/>
      <c r="H13" s="33"/>
    </row>
    <row r="14" spans="1:12" x14ac:dyDescent="0.2">
      <c r="D14" s="23"/>
      <c r="E14" s="34"/>
      <c r="H14" s="33"/>
    </row>
    <row r="15" spans="1:12" ht="13.5" thickBot="1" x14ac:dyDescent="0.25">
      <c r="B15" s="35"/>
      <c r="C15" s="50" t="s">
        <v>77</v>
      </c>
      <c r="D15" s="51"/>
      <c r="E15" s="50" t="e">
        <f>#REF!+#REF!+#REF!+#REF!</f>
        <v>#REF!</v>
      </c>
      <c r="F15" s="38"/>
      <c r="G15" s="50">
        <f>G10*G11</f>
        <v>106.32</v>
      </c>
      <c r="H15" s="40"/>
    </row>
    <row r="16" spans="1:12" ht="13.5" thickTop="1" x14ac:dyDescent="0.2">
      <c r="B16" s="35"/>
      <c r="C16" s="45"/>
      <c r="D16" s="51"/>
      <c r="E16" s="45"/>
      <c r="F16" s="38"/>
      <c r="G16" s="45"/>
      <c r="H16" s="40"/>
    </row>
  </sheetData>
  <sheetProtection algorithmName="SHA-512" hashValue="zpdbH1d+VKsjSQswS0TT0lWgJHJQKa3SVKzlcYM3c8qmhE9E0onYNiwXCszS9Q8pmmMAhxelk06jFvv62uqQbA==" saltValue="brvKOJdL3XiWX8z8Jv2tEg==" spinCount="100000" sheet="1" objects="1" scenarios="1"/>
  <mergeCells count="2">
    <mergeCell ref="C5:I5"/>
    <mergeCell ref="C6:G6"/>
  </mergeCells>
  <pageMargins left="0.78740157480314965" right="0.78740157480314965" top="0.98425196850393704" bottom="0.98425196850393704" header="0.47244094488188981" footer="0.47244094488188981"/>
  <pageSetup paperSize="9" scale="65" orientation="portrait" r:id="rId1"/>
  <headerFooter alignWithMargins="0">
    <oddHeader>&amp;L&amp;"Arial,Fett"&amp;12&amp;A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73"/>
  <sheetViews>
    <sheetView workbookViewId="0">
      <selection activeCell="J113" sqref="J113"/>
    </sheetView>
  </sheetViews>
  <sheetFormatPr baseColWidth="10" defaultColWidth="9.28515625" defaultRowHeight="12.75" x14ac:dyDescent="0.2"/>
  <cols>
    <col min="1" max="1" width="2.28515625" customWidth="1"/>
    <col min="2" max="2" width="2.7109375" customWidth="1"/>
    <col min="3" max="3" width="48.85546875" customWidth="1"/>
    <col min="4" max="4" width="52.85546875" style="23" customWidth="1"/>
    <col min="5" max="5" width="2.28515625" customWidth="1"/>
    <col min="6" max="6" width="17.42578125" style="136" customWidth="1"/>
    <col min="7" max="7" width="6" style="135" bestFit="1" customWidth="1"/>
    <col min="8" max="8" width="2.42578125" style="136" customWidth="1"/>
    <col min="9" max="9" width="48.7109375" style="137" customWidth="1"/>
    <col min="10" max="10" width="38.140625" bestFit="1" customWidth="1"/>
    <col min="11" max="11" width="10.28515625" style="18" bestFit="1" customWidth="1"/>
    <col min="12" max="12" width="10.28515625" bestFit="1" customWidth="1"/>
    <col min="15" max="15" width="15.28515625" customWidth="1"/>
    <col min="17" max="17" width="10.28515625" bestFit="1" customWidth="1"/>
  </cols>
  <sheetData>
    <row r="1" spans="1:11" ht="27.75" customHeight="1" x14ac:dyDescent="0.25">
      <c r="B1" s="24" t="s">
        <v>91</v>
      </c>
      <c r="E1" s="25"/>
      <c r="F1" s="134"/>
      <c r="J1" s="29" t="s">
        <v>63</v>
      </c>
      <c r="K1"/>
    </row>
    <row r="2" spans="1:11" ht="27.75" customHeight="1" x14ac:dyDescent="0.25">
      <c r="B2" s="24"/>
      <c r="E2" s="25"/>
      <c r="F2" s="134"/>
      <c r="K2"/>
    </row>
    <row r="3" spans="1:11" ht="27.75" customHeight="1" x14ac:dyDescent="0.25">
      <c r="B3" s="24"/>
      <c r="C3" s="216" t="s">
        <v>92</v>
      </c>
      <c r="D3" s="216"/>
      <c r="E3" s="25"/>
      <c r="F3" s="138">
        <v>0</v>
      </c>
      <c r="I3" s="137" t="str">
        <f>"mindestens "&amp;F15*F3&amp;" Haushalte sollen (zukünftig) aufgrund der geplanten Take Up Rate mit Diensten versorgt werden."</f>
        <v>mindestens 0 Haushalte sollen (zukünftig) aufgrund der geplanten Take Up Rate mit Diensten versorgt werden.</v>
      </c>
      <c r="K3"/>
    </row>
    <row r="4" spans="1:11" ht="18" customHeight="1" x14ac:dyDescent="0.25">
      <c r="B4" s="24"/>
      <c r="E4" s="25"/>
      <c r="F4" s="134"/>
      <c r="K4"/>
    </row>
    <row r="5" spans="1:11" ht="18" customHeight="1" x14ac:dyDescent="0.2">
      <c r="A5" s="139" t="s">
        <v>93</v>
      </c>
      <c r="B5" s="140"/>
      <c r="C5" s="141"/>
      <c r="E5" s="25"/>
      <c r="F5" s="134"/>
      <c r="K5"/>
    </row>
    <row r="6" spans="1:11" ht="17.100000000000001" customHeight="1" x14ac:dyDescent="0.2">
      <c r="A6" s="140"/>
      <c r="B6" s="142" t="e">
        <f>IF(OR(AND($F$31="ja",$F$33="ja",$F$35="Ja",$F$37="Ja"),AND($F$33="ja",$F$35="Ja",$F$37="Ja"),AND($F$31="ja",$F$35="Ja",$F$37="Ja"),AND($F$31="ja",$F$33="ja",$F$37="Ja"),AND($F$31="ja",$F$33="ja",$F$35="Ja"),AND(,$F$35="Ja",$F$37="Ja"),AND($F$33="ja",$F$37="Ja"),AND($F$33="ja",$F$35="Ja"),AND($F$31="ja",$F$37="Ja"),AND($F$31="ja",$F$35="Ja"),AND($F$31="ja",$F$33="ja")),"Es kann nur EINE Auswahl getroffen werden! (Angabe in Zellen F29, F31, F33, F35)",IF($F$31="ja","Kosten der Mitbenutzung von Teilnehmeranschlüssen auf der Aktivebene: "&amp;ROUND($F$144,2)&amp;" "&amp;$G$144&amp;" für "&amp;$F$32&amp;" Anschlüsse (entspricht "&amp;ROUND($F$144/$F$32/12,2)&amp;" € pro Anschluss und Monat)",IF($F$33="ja","Kosten der Mitbenutzung von passiven Teilnehmeranschlüssen: "&amp;ROUND($F$113,2)&amp;" "&amp;$G$113&amp;" für "&amp;$F$34&amp;" Anschlüsse (entspricht "&amp;ROUND($F$113/$F$34/12,2)&amp;" € pro Anschluss und Monat)",IF($F$35="Ja","Kosten der Mitbenutzung von Fasern auf einer Teilstrecke: "&amp;ROUND($F$103,2)&amp;" "&amp;$G$103&amp;" für "&amp;$F$36&amp;$G$36&amp;" (das entspricht "&amp;ROUND($F$103/$F$38/12,2)&amp;" € pro Meter und Monat)",IF($F$37="Ja","Kosten der Mitbenutzung eines Leerrohrs: "&amp;ROUND($F$73,2)&amp;" "&amp;$G$73&amp;" für "&amp;$F$23&amp;$G$23&amp;" (das entspricht € "&amp;ROUND($F$73/$F$38/12,2)&amp;" pro Meter und Monat)","Es wurde keine Auswahl getroffen (Angaben in Zellen F29, F31, F33, F35)")))))</f>
        <v>#DIV/0!</v>
      </c>
      <c r="K6"/>
    </row>
    <row r="8" spans="1:11" ht="17.100000000000001" customHeight="1" x14ac:dyDescent="0.2">
      <c r="A8" s="143" t="s">
        <v>94</v>
      </c>
      <c r="C8" s="144"/>
      <c r="D8" s="28" t="s">
        <v>4</v>
      </c>
      <c r="E8" s="25"/>
      <c r="F8" s="134"/>
      <c r="G8" s="135" t="s">
        <v>95</v>
      </c>
      <c r="I8" s="145" t="s">
        <v>96</v>
      </c>
      <c r="K8"/>
    </row>
    <row r="9" spans="1:11" ht="17.100000000000001" customHeight="1" x14ac:dyDescent="0.2">
      <c r="A9" s="143"/>
      <c r="C9" s="144"/>
      <c r="E9" s="25"/>
      <c r="F9" s="134"/>
      <c r="I9" s="146"/>
      <c r="K9"/>
    </row>
    <row r="10" spans="1:11" ht="17.100000000000001" customHeight="1" x14ac:dyDescent="0.2">
      <c r="A10" s="22"/>
      <c r="B10" s="147" t="s">
        <v>97</v>
      </c>
      <c r="C10" s="27"/>
      <c r="E10" s="25"/>
      <c r="F10" s="134"/>
      <c r="I10" s="146"/>
      <c r="K10"/>
    </row>
    <row r="11" spans="1:11" ht="17.100000000000001" customHeight="1" x14ac:dyDescent="0.2">
      <c r="A11" s="22"/>
      <c r="B11" s="147"/>
      <c r="C11" s="27"/>
      <c r="E11" s="25"/>
      <c r="F11" s="134"/>
      <c r="I11" s="146"/>
      <c r="K11"/>
    </row>
    <row r="12" spans="1:11" ht="17.100000000000001" customHeight="1" x14ac:dyDescent="0.2">
      <c r="B12" s="55"/>
      <c r="C12" s="148" t="s">
        <v>98</v>
      </c>
      <c r="D12" s="149" t="s">
        <v>99</v>
      </c>
      <c r="E12" s="25"/>
      <c r="F12" s="150">
        <v>0</v>
      </c>
      <c r="G12" s="135" t="s">
        <v>100</v>
      </c>
      <c r="I12" s="151" t="str">
        <f>IF(F12&gt;0,"ok","Angabe fehlt!")</f>
        <v>Angabe fehlt!</v>
      </c>
      <c r="K12"/>
    </row>
    <row r="13" spans="1:11" ht="51" x14ac:dyDescent="0.2">
      <c r="B13" s="55"/>
      <c r="C13" s="148" t="s">
        <v>101</v>
      </c>
      <c r="D13" s="149" t="s">
        <v>165</v>
      </c>
      <c r="E13" s="25"/>
      <c r="F13" s="150">
        <v>0</v>
      </c>
      <c r="G13" s="135" t="s">
        <v>100</v>
      </c>
      <c r="I13" s="151" t="str">
        <f>IF(F13&gt;0,IF(F13&lt;$F$12,"Grabung ohne Leerverrohrung?","durchschnittlich "&amp;ROUND(F13/F12,2)&amp;" Rohre pro Grabungsmeter, davon bereits belegt "&amp;(F18+F23)&amp;"m"),"Angabe fehlt!")</f>
        <v>Angabe fehlt!</v>
      </c>
      <c r="K13"/>
    </row>
    <row r="14" spans="1:11" ht="51" x14ac:dyDescent="0.2">
      <c r="B14" s="55"/>
      <c r="C14" s="148" t="s">
        <v>102</v>
      </c>
      <c r="D14" s="149" t="s">
        <v>166</v>
      </c>
      <c r="E14" s="25"/>
      <c r="F14" s="150">
        <v>0</v>
      </c>
      <c r="G14" s="135" t="s">
        <v>100</v>
      </c>
      <c r="I14" s="151" t="str">
        <f>IF(F14&gt;0,IF(F14&lt;F13,"Leerverrohrung ohne Glasfaser?","durchschnittlich "&amp;ROUND(F14/$F$12,2)&amp;" Fasern pro Grabungsmeter, davon bereits genutzt (aktiv od. Reserve) "&amp;(F19+F24)&amp;"m"),"Angabe fehlt!")</f>
        <v>Angabe fehlt!</v>
      </c>
      <c r="K14"/>
    </row>
    <row r="15" spans="1:11" ht="38.25" x14ac:dyDescent="0.2">
      <c r="B15" s="55"/>
      <c r="C15" s="148" t="s">
        <v>103</v>
      </c>
      <c r="D15" s="149" t="s">
        <v>104</v>
      </c>
      <c r="E15" s="25"/>
      <c r="F15" s="150">
        <v>0</v>
      </c>
      <c r="G15" s="135" t="s">
        <v>105</v>
      </c>
      <c r="I15" s="151" t="str">
        <f>IF(F15&gt;0,"durchschnittlich "&amp;ROUND($F$12/F15,2)&amp;"m Graben pro erreichtem Haushalt. Anzahl bereits versorgter Haushalte: "&amp;(F20+F25+F26)&amp;" = "&amp;ROUND((F20+F25+F26)/F15*100,2)&amp;"%."&amp;" Anzahl geplante Anschlüsse: "&amp;ROUNDDOWN(F15*F3,0),"Angabe fehlt!")</f>
        <v>Angabe fehlt!</v>
      </c>
      <c r="K15"/>
    </row>
    <row r="16" spans="1:11" x14ac:dyDescent="0.2">
      <c r="B16" s="136"/>
      <c r="C16" s="27"/>
      <c r="E16" s="27"/>
      <c r="F16" s="23"/>
      <c r="I16" s="151"/>
      <c r="K16"/>
    </row>
    <row r="17" spans="1:11" x14ac:dyDescent="0.2">
      <c r="B17" s="147" t="s">
        <v>106</v>
      </c>
      <c r="C17" s="27"/>
      <c r="E17" s="27"/>
      <c r="F17" s="23"/>
      <c r="I17" s="151"/>
      <c r="K17"/>
    </row>
    <row r="18" spans="1:11" ht="38.25" x14ac:dyDescent="0.2">
      <c r="B18" s="55"/>
      <c r="C18" s="148" t="s">
        <v>107</v>
      </c>
      <c r="D18" s="149" t="s">
        <v>167</v>
      </c>
      <c r="E18" s="25"/>
      <c r="F18" s="150">
        <v>0</v>
      </c>
      <c r="G18" s="135" t="s">
        <v>100</v>
      </c>
      <c r="I18" s="151" t="str">
        <f>IF(F18&gt;0,"Eigennutzung "&amp;ROUND(F18/F13*100,2)&amp;" %","Angabe fehlt!")</f>
        <v>Angabe fehlt!</v>
      </c>
      <c r="K18"/>
    </row>
    <row r="19" spans="1:11" ht="51" x14ac:dyDescent="0.2">
      <c r="B19" s="55"/>
      <c r="C19" s="148" t="s">
        <v>108</v>
      </c>
      <c r="D19" s="149" t="s">
        <v>168</v>
      </c>
      <c r="E19" s="25"/>
      <c r="F19" s="150">
        <v>0</v>
      </c>
      <c r="G19" s="135" t="s">
        <v>100</v>
      </c>
      <c r="I19" s="151" t="str">
        <f>IF(F19&gt;0,"Eigennutzung "&amp;ROUND(F19/$F$14*100,2)&amp;" %","Angabe fehlt!")</f>
        <v>Angabe fehlt!</v>
      </c>
      <c r="K19"/>
    </row>
    <row r="20" spans="1:11" ht="38.25" x14ac:dyDescent="0.2">
      <c r="B20" s="55"/>
      <c r="C20" s="148" t="s">
        <v>109</v>
      </c>
      <c r="D20" s="149" t="s">
        <v>110</v>
      </c>
      <c r="E20" s="25"/>
      <c r="F20" s="150">
        <v>0</v>
      </c>
      <c r="G20" s="135" t="s">
        <v>105</v>
      </c>
      <c r="I20" s="151" t="str">
        <f>IF(F20&gt;0,"(eigene) Take-up Rate "&amp;ROUND(F20/$F$15*100,2)&amp;" %; durchschnittliche Grabungslänge je HH: "&amp;ROUND(F12/F20,2)&amp;"m","keine eigenen Endkunden")</f>
        <v>keine eigenen Endkunden</v>
      </c>
      <c r="K20"/>
    </row>
    <row r="21" spans="1:11" x14ac:dyDescent="0.2">
      <c r="B21" s="136"/>
      <c r="C21" s="27"/>
      <c r="E21" s="27"/>
      <c r="F21" s="23"/>
      <c r="I21" s="151"/>
      <c r="K21"/>
    </row>
    <row r="22" spans="1:11" x14ac:dyDescent="0.2">
      <c r="B22" s="147" t="s">
        <v>111</v>
      </c>
      <c r="C22" s="27"/>
      <c r="E22" s="27"/>
      <c r="F22" s="23"/>
      <c r="I22" s="151"/>
      <c r="K22"/>
    </row>
    <row r="23" spans="1:11" ht="25.5" x14ac:dyDescent="0.2">
      <c r="B23" s="55"/>
      <c r="C23" s="148" t="s">
        <v>112</v>
      </c>
      <c r="D23" s="149" t="s">
        <v>113</v>
      </c>
      <c r="E23" s="25"/>
      <c r="F23" s="150">
        <v>0</v>
      </c>
      <c r="G23" s="135" t="s">
        <v>100</v>
      </c>
      <c r="I23" s="151" t="str">
        <f t="shared" ref="I23:I24" si="0">IF(F23&gt;0,"ok","keine bestehende Mitbenutzung?")</f>
        <v>keine bestehende Mitbenutzung?</v>
      </c>
      <c r="K23"/>
    </row>
    <row r="24" spans="1:11" ht="25.5" x14ac:dyDescent="0.2">
      <c r="B24" s="55"/>
      <c r="C24" s="148" t="s">
        <v>114</v>
      </c>
      <c r="D24" s="149" t="s">
        <v>115</v>
      </c>
      <c r="E24" s="25"/>
      <c r="F24" s="150">
        <v>0</v>
      </c>
      <c r="G24" s="135" t="s">
        <v>100</v>
      </c>
      <c r="I24" s="151" t="str">
        <f t="shared" si="0"/>
        <v>keine bestehende Mitbenutzung?</v>
      </c>
      <c r="K24"/>
    </row>
    <row r="25" spans="1:11" ht="25.5" hidden="1" x14ac:dyDescent="0.2">
      <c r="B25" s="55"/>
      <c r="C25" s="148" t="s">
        <v>169</v>
      </c>
      <c r="D25" s="149" t="s">
        <v>119</v>
      </c>
      <c r="E25" s="25"/>
      <c r="F25" s="150">
        <v>0</v>
      </c>
      <c r="G25" s="135" t="s">
        <v>105</v>
      </c>
      <c r="I25" s="151" t="str">
        <f>IF(F25&gt;0,"ok","keine bestehende Mitbenutzung?")</f>
        <v>keine bestehende Mitbenutzung?</v>
      </c>
      <c r="K25"/>
    </row>
    <row r="26" spans="1:11" ht="25.5" hidden="1" x14ac:dyDescent="0.2">
      <c r="B26" s="55"/>
      <c r="C26" s="148" t="s">
        <v>170</v>
      </c>
      <c r="D26" s="149" t="s">
        <v>119</v>
      </c>
      <c r="E26" s="25"/>
      <c r="F26" s="150">
        <v>0</v>
      </c>
      <c r="G26" s="135" t="s">
        <v>105</v>
      </c>
      <c r="I26" s="151" t="str">
        <f>IF(F26&gt;0,"ok","keine bestehende Mitbenutzung?")</f>
        <v>keine bestehende Mitbenutzung?</v>
      </c>
      <c r="K26"/>
    </row>
    <row r="27" spans="1:11" ht="17.100000000000001" customHeight="1" x14ac:dyDescent="0.2">
      <c r="A27" s="22"/>
      <c r="C27" s="144"/>
      <c r="E27" s="25"/>
      <c r="F27" s="134"/>
      <c r="I27" s="146"/>
      <c r="K27"/>
    </row>
    <row r="28" spans="1:11" ht="17.100000000000001" customHeight="1" x14ac:dyDescent="0.2">
      <c r="A28" s="22"/>
      <c r="C28" s="144"/>
      <c r="E28" s="25"/>
      <c r="F28" s="134"/>
      <c r="I28" s="146"/>
      <c r="K28"/>
    </row>
    <row r="29" spans="1:11" ht="17.100000000000001" customHeight="1" x14ac:dyDescent="0.2">
      <c r="A29" s="22" t="s">
        <v>116</v>
      </c>
      <c r="C29" s="144"/>
      <c r="E29" s="25"/>
      <c r="F29" s="134"/>
      <c r="I29" s="146" t="str">
        <f>IF(OR(AND($F$31="ja",$F$33="ja",$F$35="Ja",$F$37="Ja"),AND($F$33="ja",$F$35="Ja",$F$37="Ja"),AND($F$31="ja",$F$35="Ja",$F$37="Ja"),AND($F$31="ja",$F$33="ja",$F$37="Ja"),AND($F$31="ja",$F$33="ja",$F$35="Ja"),AND(,$F$35="Ja",$F$37="Ja"),AND($F$33="ja",$F$37="Ja"),AND($F$33="ja",$F$35="Ja"),AND($F$31="ja",$F$37="Ja"),AND($F$31="ja",$F$35="Ja"),AND($F$31="ja",$F$33="ja")),"Es kann nur EINE Auswahl getroffen werden!",IF(F31="ja","Auswahl = Mitbenutzung von Teilnehmeranschlüssen auf Aktivebene (VULA)",IF(F33="ja","Auswahl = Mitbenutzung von passiven Teilnehmeranschlüssen",IF(F35="Ja","Auswahl = Mitbenutzung von Fasern auf einer Teilstrecke",IF(F37="Ja","Auswahl = Mitbenutzung eines Leerrohrs","Es wurde keine Auswahl getroffen")))))</f>
        <v>Auswahl = Mitbenutzung von Teilnehmeranschlüssen auf Aktivebene (VULA)</v>
      </c>
      <c r="K29"/>
    </row>
    <row r="30" spans="1:11" ht="17.100000000000001" customHeight="1" thickBot="1" x14ac:dyDescent="0.25">
      <c r="A30" s="22"/>
      <c r="C30" s="144"/>
      <c r="E30" s="25"/>
      <c r="F30" s="152"/>
      <c r="I30" s="151"/>
      <c r="K30"/>
    </row>
    <row r="31" spans="1:11" ht="17.100000000000001" customHeight="1" x14ac:dyDescent="0.2">
      <c r="A31" s="22"/>
      <c r="B31" s="153" t="s">
        <v>117</v>
      </c>
      <c r="C31" s="154"/>
      <c r="D31" s="155"/>
      <c r="E31" s="25"/>
      <c r="F31" s="156" t="s">
        <v>171</v>
      </c>
      <c r="I31" s="151" t="str">
        <f>IF(F31="ja",IF(OR(F33="ja",F35="ja"),"es kann nur eine Art der Mitbenutzung gewählt werden!","Dies ist die gewählte Art der Mitbenutzung"),IF(F31="nein","nicht gewählt","ja oder nein eintragen!"))</f>
        <v>Dies ist die gewählte Art der Mitbenutzung</v>
      </c>
      <c r="K31"/>
    </row>
    <row r="32" spans="1:11" ht="17.100000000000001" customHeight="1" thickBot="1" x14ac:dyDescent="0.25">
      <c r="A32" s="22"/>
      <c r="B32" s="157"/>
      <c r="C32" s="158" t="s">
        <v>118</v>
      </c>
      <c r="D32" s="159" t="s">
        <v>119</v>
      </c>
      <c r="E32" s="25"/>
      <c r="F32" s="160">
        <v>0</v>
      </c>
      <c r="G32" s="135" t="s">
        <v>105</v>
      </c>
      <c r="I32" s="151" t="str">
        <f>IF($F$33="Ja",IF(F32&gt;0,"ok","Angabe fehlt!"),"keine Angabe erforderlich")</f>
        <v>keine Angabe erforderlich</v>
      </c>
      <c r="K32"/>
    </row>
    <row r="33" spans="1:16" ht="17.100000000000001" customHeight="1" x14ac:dyDescent="0.2">
      <c r="B33" s="153" t="s">
        <v>120</v>
      </c>
      <c r="C33" s="154"/>
      <c r="D33" s="155"/>
      <c r="E33" s="25"/>
      <c r="F33" s="156" t="s">
        <v>172</v>
      </c>
      <c r="I33" s="151" t="str">
        <f>IF(F33="ja",IF(OR(F35="ja",F37="ja"),"es kann nur eine Art der Mitbenutzung gewählt werden!","Dies ist die gewählte Art der Mitbenutzung"),IF(F33="nein","nicht gewählt","ja oder nein eintragen!"))</f>
        <v>nicht gewählt</v>
      </c>
      <c r="K33"/>
    </row>
    <row r="34" spans="1:16" ht="15.75" thickBot="1" x14ac:dyDescent="0.25">
      <c r="B34" s="157"/>
      <c r="C34" s="158" t="s">
        <v>118</v>
      </c>
      <c r="D34" s="159" t="s">
        <v>119</v>
      </c>
      <c r="E34" s="25"/>
      <c r="F34" s="160">
        <v>0</v>
      </c>
      <c r="G34" s="135" t="s">
        <v>105</v>
      </c>
      <c r="I34" s="151" t="str">
        <f>IF($F$33="Ja",IF(F34&gt;0,"ok","Angabe fehlt!"),"keine Angabe erforderlich")</f>
        <v>keine Angabe erforderlich</v>
      </c>
      <c r="K34"/>
    </row>
    <row r="35" spans="1:16" ht="17.100000000000001" customHeight="1" x14ac:dyDescent="0.2">
      <c r="B35" s="153" t="s">
        <v>121</v>
      </c>
      <c r="C35" s="154"/>
      <c r="D35" s="161"/>
      <c r="E35" s="25"/>
      <c r="F35" s="162" t="s">
        <v>172</v>
      </c>
      <c r="I35" s="151" t="str">
        <f>IF(F35="ja",IF(OR(F33="ja",F37="ja"),"es kann nur eine Art der Mitbenutzung gewählt werden!","Dies ist die gewählte Art der Mitbenutzung"),IF(F35="nein","nicht gewählt","ja oder nein eintragen!"))</f>
        <v>nicht gewählt</v>
      </c>
      <c r="K35"/>
    </row>
    <row r="36" spans="1:16" ht="39" thickBot="1" x14ac:dyDescent="0.25">
      <c r="B36" s="157"/>
      <c r="C36" s="158" t="s">
        <v>122</v>
      </c>
      <c r="D36" s="159" t="s">
        <v>173</v>
      </c>
      <c r="E36" s="25"/>
      <c r="F36" s="160">
        <v>0</v>
      </c>
      <c r="G36" s="135" t="s">
        <v>100</v>
      </c>
      <c r="I36" s="151" t="str">
        <f>IF($F$35="Ja",IF(F36&gt;0,"ok","Angabe fehlt!"),"keine Angabe erforderlich")</f>
        <v>keine Angabe erforderlich</v>
      </c>
      <c r="K36"/>
    </row>
    <row r="37" spans="1:16" ht="17.100000000000001" customHeight="1" x14ac:dyDescent="0.2">
      <c r="B37" s="153" t="s">
        <v>123</v>
      </c>
      <c r="C37" s="154"/>
      <c r="D37" s="161"/>
      <c r="E37" s="25"/>
      <c r="F37" s="162" t="s">
        <v>172</v>
      </c>
      <c r="I37" s="151" t="str">
        <f>IF(F37="ja",IF(OR(F35="ja", F33="ja"),"es kann nur eine Art der Mitbenutzung gewählt werden!","Dies ist die gewählte Art der Mitbenutzung"),IF(F37="nein","nicht gewählt","ja oder nein eintragen!"))</f>
        <v>nicht gewählt</v>
      </c>
      <c r="K37"/>
    </row>
    <row r="38" spans="1:16" ht="26.25" thickBot="1" x14ac:dyDescent="0.25">
      <c r="B38" s="163"/>
      <c r="C38" s="158" t="s">
        <v>124</v>
      </c>
      <c r="D38" s="159" t="s">
        <v>174</v>
      </c>
      <c r="E38" s="25"/>
      <c r="F38" s="164">
        <v>0</v>
      </c>
      <c r="G38" s="135" t="s">
        <v>100</v>
      </c>
      <c r="I38" s="151" t="str">
        <f>IF($F$35="Ja",IF(F38&gt;0,"ok","Angabe fehlt!"),"keine Angabe erforderlich")</f>
        <v>keine Angabe erforderlich</v>
      </c>
      <c r="K38"/>
    </row>
    <row r="39" spans="1:16" ht="15" x14ac:dyDescent="0.2">
      <c r="C39" s="23"/>
      <c r="E39" s="25"/>
      <c r="F39" s="134"/>
      <c r="I39" s="151"/>
      <c r="K39"/>
    </row>
    <row r="40" spans="1:16" ht="17.100000000000001" customHeight="1" x14ac:dyDescent="0.2">
      <c r="B40" s="22"/>
      <c r="C40" s="23"/>
      <c r="E40" s="25"/>
      <c r="F40" s="134"/>
      <c r="I40" s="151"/>
      <c r="K40"/>
    </row>
    <row r="41" spans="1:16" x14ac:dyDescent="0.2">
      <c r="A41" s="22" t="s">
        <v>42</v>
      </c>
      <c r="D41"/>
      <c r="I41" s="151"/>
      <c r="K41"/>
    </row>
    <row r="42" spans="1:16" x14ac:dyDescent="0.2">
      <c r="A42" s="22"/>
      <c r="I42" s="151"/>
      <c r="K42"/>
    </row>
    <row r="43" spans="1:16" ht="25.5" x14ac:dyDescent="0.2">
      <c r="B43" s="55"/>
      <c r="C43" s="148" t="s">
        <v>23</v>
      </c>
      <c r="D43" s="149" t="s">
        <v>125</v>
      </c>
      <c r="F43" s="165">
        <v>0.04</v>
      </c>
      <c r="I43" s="151" t="str">
        <f>IF(OR(F43&lt;0,F43&gt;0.08,F43=""),"Wert zwischen 0% und 8% eintragen","ok")</f>
        <v>ok</v>
      </c>
      <c r="J43" s="170" t="s">
        <v>183</v>
      </c>
    </row>
    <row r="44" spans="1:16" x14ac:dyDescent="0.2">
      <c r="B44" s="55"/>
      <c r="C44" s="148" t="s">
        <v>16</v>
      </c>
      <c r="D44" s="149" t="s">
        <v>126</v>
      </c>
      <c r="F44" s="166">
        <v>2.5000000000000001E-2</v>
      </c>
      <c r="I44" s="151" t="str">
        <f>IF(OR(F44&lt;0,F44&gt;0.025,F44=""),"Wert zwischen 0% und 2,5% eintragen","ok")</f>
        <v>ok</v>
      </c>
      <c r="J44" s="170" t="s">
        <v>183</v>
      </c>
      <c r="N44" s="167"/>
      <c r="P44" s="168"/>
    </row>
    <row r="45" spans="1:16" x14ac:dyDescent="0.2">
      <c r="B45" s="55"/>
      <c r="C45" s="148" t="s">
        <v>25</v>
      </c>
      <c r="D45" s="149" t="s">
        <v>127</v>
      </c>
      <c r="F45" s="166">
        <v>1.4999999999999999E-2</v>
      </c>
      <c r="I45" s="151" t="str">
        <f>IF(OR(F45&lt;0,F45&gt;0.015,F45=""),"Wert zwischen 0% und 1,5% eintragen","ok")</f>
        <v>ok</v>
      </c>
      <c r="J45" s="170" t="s">
        <v>183</v>
      </c>
    </row>
    <row r="46" spans="1:16" x14ac:dyDescent="0.2">
      <c r="D46" s="169"/>
      <c r="I46" s="151"/>
      <c r="J46" s="170"/>
      <c r="K46"/>
    </row>
    <row r="47" spans="1:16" x14ac:dyDescent="0.2">
      <c r="A47" s="22" t="s">
        <v>128</v>
      </c>
      <c r="D47" s="170"/>
      <c r="I47" s="151"/>
      <c r="J47" s="170"/>
      <c r="K47"/>
    </row>
    <row r="48" spans="1:16" x14ac:dyDescent="0.2">
      <c r="D48" s="169"/>
      <c r="I48" s="151"/>
      <c r="J48" s="170"/>
      <c r="K48"/>
    </row>
    <row r="49" spans="1:11" x14ac:dyDescent="0.2">
      <c r="B49" s="35"/>
      <c r="C49" s="41" t="s">
        <v>27</v>
      </c>
      <c r="D49" s="51"/>
      <c r="F49" s="171">
        <v>0</v>
      </c>
      <c r="G49" s="135" t="s">
        <v>129</v>
      </c>
      <c r="I49" s="151" t="str">
        <f>IF(F49&lt;=0,"keine Angabe","entspricht "&amp;ROUND(F49/$F$15,2)&amp;" € pro erreichbarem Haushalt bzw. "&amp;ROUND(F49/($F$20+$F$25+$F$26),2)&amp;" € pro tatsächlich angeschlossenem Haushalt")</f>
        <v>keine Angabe</v>
      </c>
      <c r="J49" s="170" t="s">
        <v>179</v>
      </c>
      <c r="K49"/>
    </row>
    <row r="50" spans="1:11" x14ac:dyDescent="0.2">
      <c r="B50" s="35"/>
      <c r="C50" s="35" t="s">
        <v>31</v>
      </c>
      <c r="D50" s="51"/>
      <c r="F50" s="171">
        <v>0</v>
      </c>
      <c r="G50" s="135" t="s">
        <v>129</v>
      </c>
      <c r="I50" s="151" t="str">
        <f>IF(F50&lt;=0,"keine Angabe","entspricht "&amp;ROUND(F50/$F$15,2)&amp;" € pro erreichbarem Haushalt bzw. "&amp;ROUND(F50/($F$20+$F$25+$F$26),2)&amp;" € pro tatsächlich angeschlossenem Haushalt")</f>
        <v>keine Angabe</v>
      </c>
      <c r="J50" s="170" t="s">
        <v>66</v>
      </c>
      <c r="K50"/>
    </row>
    <row r="51" spans="1:11" x14ac:dyDescent="0.2">
      <c r="B51" s="35"/>
      <c r="C51" s="35" t="s">
        <v>28</v>
      </c>
      <c r="D51" s="51" t="s">
        <v>2</v>
      </c>
      <c r="E51" s="38"/>
      <c r="F51" s="172">
        <f>SUM(F49:F50)</f>
        <v>0</v>
      </c>
      <c r="G51" s="135" t="s">
        <v>129</v>
      </c>
      <c r="H51" s="173"/>
      <c r="I51" s="151" t="str">
        <f>IF(F51&lt;=0,"eine Angabe zu Investitionskosten fehlt!","entspricht "&amp;ROUND(F51/$F$15,2)&amp;" € pro erreichbarem Haushalt bzw. "&amp;ROUND(F51/($F$20+$F$25+$F$26),2)&amp;" € pro tatsächlich angeschlossenem Haushalt")</f>
        <v>eine Angabe zu Investitionskosten fehlt!</v>
      </c>
      <c r="J51" s="170"/>
      <c r="K51"/>
    </row>
    <row r="52" spans="1:11" ht="15" customHeight="1" x14ac:dyDescent="0.2">
      <c r="B52" s="35"/>
      <c r="C52" s="41" t="s">
        <v>26</v>
      </c>
      <c r="D52" s="51"/>
      <c r="E52" s="38"/>
      <c r="F52" s="171">
        <v>0</v>
      </c>
      <c r="G52" s="135" t="s">
        <v>129</v>
      </c>
      <c r="H52" s="173"/>
      <c r="I52" s="151" t="str">
        <f>IF(F52&lt;=0,"keine Angabe","Förderanteil "&amp;ROUND(F52/F49*100,2)&amp;" %")</f>
        <v>keine Angabe</v>
      </c>
      <c r="J52" s="170" t="s">
        <v>67</v>
      </c>
      <c r="K52"/>
    </row>
    <row r="53" spans="1:11" ht="15" customHeight="1" x14ac:dyDescent="0.2">
      <c r="B53" s="35"/>
      <c r="C53" s="35" t="s">
        <v>130</v>
      </c>
      <c r="D53" s="44" t="s">
        <v>8</v>
      </c>
      <c r="E53" s="38"/>
      <c r="F53" s="172">
        <f>F51-F52</f>
        <v>0</v>
      </c>
      <c r="G53" s="135" t="s">
        <v>129</v>
      </c>
      <c r="H53" s="173"/>
      <c r="I53" s="151"/>
      <c r="K53"/>
    </row>
    <row r="54" spans="1:11" x14ac:dyDescent="0.2">
      <c r="B54" s="35"/>
      <c r="C54" s="35" t="s">
        <v>6</v>
      </c>
      <c r="D54" s="51" t="s">
        <v>1</v>
      </c>
      <c r="E54" s="38"/>
      <c r="F54" s="174">
        <v>30</v>
      </c>
      <c r="G54" s="135" t="s">
        <v>131</v>
      </c>
      <c r="I54" s="151"/>
      <c r="J54" s="170"/>
      <c r="K54"/>
    </row>
    <row r="55" spans="1:11" x14ac:dyDescent="0.2">
      <c r="B55" s="35"/>
      <c r="C55" s="35" t="s">
        <v>132</v>
      </c>
      <c r="D55" s="44" t="s">
        <v>8</v>
      </c>
      <c r="E55" s="38"/>
      <c r="F55" s="175">
        <f>F53/F54</f>
        <v>0</v>
      </c>
      <c r="G55" s="135" t="s">
        <v>133</v>
      </c>
      <c r="I55" s="151"/>
      <c r="K55"/>
    </row>
    <row r="56" spans="1:11" ht="15" customHeight="1" x14ac:dyDescent="0.2">
      <c r="B56" s="35"/>
      <c r="C56" s="35" t="s">
        <v>134</v>
      </c>
      <c r="D56" s="44" t="s">
        <v>8</v>
      </c>
      <c r="E56" s="38"/>
      <c r="F56" s="175">
        <f>F53/2*$F$43</f>
        <v>0</v>
      </c>
      <c r="G56" s="135" t="s">
        <v>133</v>
      </c>
      <c r="I56" s="151"/>
      <c r="K56"/>
    </row>
    <row r="57" spans="1:11" x14ac:dyDescent="0.2">
      <c r="B57" s="35"/>
      <c r="C57" s="176" t="s">
        <v>5</v>
      </c>
      <c r="D57" s="44" t="s">
        <v>8</v>
      </c>
      <c r="E57" s="38"/>
      <c r="F57" s="175">
        <f>F51*$F$44</f>
        <v>0</v>
      </c>
      <c r="G57" s="135" t="s">
        <v>133</v>
      </c>
      <c r="I57" s="151"/>
      <c r="K57"/>
    </row>
    <row r="58" spans="1:11" ht="25.5" x14ac:dyDescent="0.2">
      <c r="B58" s="35"/>
      <c r="C58" s="176" t="s">
        <v>18</v>
      </c>
      <c r="D58" s="51" t="s">
        <v>135</v>
      </c>
      <c r="E58" s="38"/>
      <c r="F58" s="175">
        <f>F51/F54*$F$45</f>
        <v>0</v>
      </c>
      <c r="G58" s="135" t="s">
        <v>133</v>
      </c>
      <c r="I58" s="151"/>
      <c r="K58"/>
    </row>
    <row r="59" spans="1:11" ht="13.5" thickBot="1" x14ac:dyDescent="0.25">
      <c r="B59" s="35"/>
      <c r="C59" s="50" t="s">
        <v>0</v>
      </c>
      <c r="D59" s="50"/>
      <c r="E59" s="38"/>
      <c r="F59" s="177">
        <f>F55+F56+F57+F58</f>
        <v>0</v>
      </c>
      <c r="G59" s="135" t="s">
        <v>133</v>
      </c>
      <c r="I59" s="151"/>
      <c r="K59"/>
    </row>
    <row r="60" spans="1:11" ht="13.5" thickTop="1" x14ac:dyDescent="0.2">
      <c r="B60" s="35"/>
      <c r="C60" s="45"/>
      <c r="D60" s="51"/>
      <c r="E60" s="38"/>
      <c r="F60" s="175"/>
      <c r="I60" s="151"/>
      <c r="K60"/>
    </row>
    <row r="61" spans="1:11" x14ac:dyDescent="0.2">
      <c r="I61" s="151"/>
      <c r="K61"/>
    </row>
    <row r="62" spans="1:11" ht="13.15" customHeight="1" x14ac:dyDescent="0.2">
      <c r="A62" s="22" t="s">
        <v>47</v>
      </c>
      <c r="D62" s="14"/>
      <c r="E62" s="38"/>
      <c r="I62" s="151"/>
      <c r="K62"/>
    </row>
    <row r="63" spans="1:11" ht="13.15" customHeight="1" x14ac:dyDescent="0.2">
      <c r="D63" s="14"/>
      <c r="E63" s="38"/>
      <c r="I63" s="151"/>
      <c r="K63"/>
    </row>
    <row r="64" spans="1:11" ht="13.15" customHeight="1" x14ac:dyDescent="0.2">
      <c r="B64" s="45"/>
      <c r="C64" s="45" t="s">
        <v>45</v>
      </c>
      <c r="D64" s="178" t="s">
        <v>175</v>
      </c>
      <c r="E64" s="45"/>
      <c r="F64" s="179">
        <v>0</v>
      </c>
      <c r="G64" s="135" t="s">
        <v>133</v>
      </c>
      <c r="I64" s="151" t="str">
        <f>IF(F64&gt;0,"gesonderte Nachweise sind zu erbringen!","")</f>
        <v/>
      </c>
      <c r="J64" s="170" t="s">
        <v>180</v>
      </c>
      <c r="K64"/>
    </row>
    <row r="65" spans="1:11" ht="13.15" customHeight="1" x14ac:dyDescent="0.2">
      <c r="D65" s="14"/>
      <c r="E65" s="38"/>
      <c r="I65" s="151"/>
      <c r="K65"/>
    </row>
    <row r="66" spans="1:11" ht="13.15" customHeight="1" thickBot="1" x14ac:dyDescent="0.25">
      <c r="B66" s="52" t="s">
        <v>136</v>
      </c>
      <c r="C66" s="52"/>
      <c r="D66" s="52"/>
      <c r="E66" s="38"/>
      <c r="F66" s="180">
        <f>SUM(F64+F59)</f>
        <v>0</v>
      </c>
      <c r="G66" s="135" t="s">
        <v>133</v>
      </c>
      <c r="I66" s="151"/>
      <c r="K66"/>
    </row>
    <row r="67" spans="1:11" ht="13.5" thickTop="1" x14ac:dyDescent="0.2">
      <c r="D67" s="14"/>
      <c r="E67" s="38"/>
      <c r="I67" s="151"/>
      <c r="K67"/>
    </row>
    <row r="68" spans="1:11" x14ac:dyDescent="0.2">
      <c r="A68" s="22" t="s">
        <v>137</v>
      </c>
      <c r="D68" s="14"/>
      <c r="E68" s="38"/>
      <c r="I68" s="151"/>
      <c r="K68"/>
    </row>
    <row r="69" spans="1:11" x14ac:dyDescent="0.2">
      <c r="A69" s="22"/>
      <c r="D69" s="14"/>
      <c r="E69" s="38"/>
      <c r="I69" s="151"/>
      <c r="K69"/>
    </row>
    <row r="70" spans="1:11" x14ac:dyDescent="0.2">
      <c r="B70" s="54" t="s">
        <v>138</v>
      </c>
      <c r="C70" s="55"/>
      <c r="D70" s="56"/>
      <c r="E70" s="38"/>
      <c r="F70" s="181"/>
      <c r="I70" s="151"/>
      <c r="K70"/>
    </row>
    <row r="71" spans="1:11" x14ac:dyDescent="0.2">
      <c r="B71" s="55"/>
      <c r="C71" s="55" t="s">
        <v>139</v>
      </c>
      <c r="D71" s="182" t="e">
        <f>ROUND($F$18/$D$74*100,2)&amp;" % von "&amp;ROUND($F$66,2)&amp;" € für "&amp;$F$18&amp;"m von "&amp;$D$74&amp;"m"</f>
        <v>#DIV/0!</v>
      </c>
      <c r="E71" s="38"/>
      <c r="F71" s="183" t="e">
        <f>$F$66*$F$18/$D$74</f>
        <v>#DIV/0!</v>
      </c>
      <c r="G71" s="135" t="s">
        <v>133</v>
      </c>
      <c r="I71" s="151" t="e">
        <f>IF(F71&gt;0,"entspricht € "&amp;ROUND(F71/$F$18/12,2)&amp;" pro Meter und Monat","")</f>
        <v>#DIV/0!</v>
      </c>
      <c r="K71"/>
    </row>
    <row r="72" spans="1:11" ht="12" customHeight="1" x14ac:dyDescent="0.2">
      <c r="B72" s="55"/>
      <c r="C72" s="55" t="s">
        <v>140</v>
      </c>
      <c r="D72" s="182" t="e">
        <f>ROUND($F$23/$D$74*100,2)&amp;" % von "&amp;ROUND($F$66,2)&amp;" € für "&amp;$F$23&amp;"m von "&amp;$D$74&amp;"m"</f>
        <v>#DIV/0!</v>
      </c>
      <c r="E72" s="38"/>
      <c r="F72" s="183" t="e">
        <f>$F$66*$F$23/$D$74</f>
        <v>#DIV/0!</v>
      </c>
      <c r="G72" s="135" t="s">
        <v>133</v>
      </c>
      <c r="I72" s="151" t="e">
        <f>IF(F72&gt;0,"entspricht € "&amp;ROUND(F72/$F$23/12,2)&amp;" pro Meter und Monat","")</f>
        <v>#DIV/0!</v>
      </c>
      <c r="K72"/>
    </row>
    <row r="73" spans="1:11" x14ac:dyDescent="0.2">
      <c r="B73" s="55"/>
      <c r="C73" s="184" t="s">
        <v>141</v>
      </c>
      <c r="D73" s="185" t="str">
        <f>IF($F$37="ja",ROUND($F$38/$D$74*100,2)&amp;" % von "&amp;ROUND($F$66,2)&amp;" € für "&amp;$F$38&amp;"m von "&amp;$D$74&amp;"m","")</f>
        <v/>
      </c>
      <c r="E73" s="38"/>
      <c r="F73" s="186">
        <f>IF($F$37="ja",$F$66*$F$38/$D$74,0)</f>
        <v>0</v>
      </c>
      <c r="G73" s="135" t="s">
        <v>133</v>
      </c>
      <c r="I73" s="151" t="str">
        <f>IF(F73&gt;0,"entspricht € "&amp;ROUND(F73/$F$38/12,2)&amp;" pro Meter und Monat","")</f>
        <v/>
      </c>
      <c r="K73"/>
    </row>
    <row r="74" spans="1:11" ht="13.5" thickBot="1" x14ac:dyDescent="0.25">
      <c r="B74" s="55"/>
      <c r="C74" s="187" t="s">
        <v>142</v>
      </c>
      <c r="D74" s="188">
        <f>IF($F$37="ja",$F$18+$F$23+$F$38,$F$18+$F$23)</f>
        <v>0</v>
      </c>
      <c r="E74" s="189"/>
      <c r="F74" s="190" t="e">
        <f>SUM(F71:F73)</f>
        <v>#DIV/0!</v>
      </c>
      <c r="G74" s="135" t="s">
        <v>133</v>
      </c>
      <c r="I74" s="151" t="e">
        <f>IF(F74&gt;0,"entspricht € "&amp;ROUND(F74/$D$74/12,2)&amp;" pro Meter und Monat","")</f>
        <v>#DIV/0!</v>
      </c>
    </row>
    <row r="75" spans="1:11" ht="13.5" thickTop="1" x14ac:dyDescent="0.2">
      <c r="D75" s="14"/>
      <c r="E75" s="38"/>
      <c r="F75" s="191"/>
      <c r="I75" s="151"/>
      <c r="K75"/>
    </row>
    <row r="76" spans="1:11" ht="12" customHeight="1" x14ac:dyDescent="0.2">
      <c r="D76" s="14"/>
      <c r="E76" s="38"/>
      <c r="I76" s="151"/>
      <c r="K76"/>
    </row>
    <row r="77" spans="1:11" ht="12.75" customHeight="1" x14ac:dyDescent="0.2">
      <c r="A77" s="22" t="s">
        <v>35</v>
      </c>
      <c r="D77" s="14"/>
      <c r="E77" s="38"/>
      <c r="I77" s="151"/>
      <c r="K77"/>
    </row>
    <row r="78" spans="1:11" x14ac:dyDescent="0.2">
      <c r="A78" s="22"/>
      <c r="D78" s="14"/>
      <c r="E78" s="38"/>
      <c r="I78" s="151"/>
      <c r="K78"/>
    </row>
    <row r="79" spans="1:11" ht="12.75" customHeight="1" x14ac:dyDescent="0.2">
      <c r="B79" s="76" t="s">
        <v>11</v>
      </c>
      <c r="C79" s="35"/>
      <c r="D79" s="51"/>
      <c r="E79" s="38"/>
      <c r="F79" s="192"/>
      <c r="I79" s="151"/>
      <c r="K79"/>
    </row>
    <row r="80" spans="1:11" ht="25.5" x14ac:dyDescent="0.2">
      <c r="B80" s="76"/>
      <c r="C80" s="193" t="s">
        <v>143</v>
      </c>
      <c r="D80" s="194" t="e">
        <f>ROUND($F$18/$D$74*100,2)&amp;" % von "&amp;ROUND($F$66,2)&amp;" € für "&amp;$F$18&amp;"m von "&amp;$D$74&amp;"m"</f>
        <v>#DIV/0!</v>
      </c>
      <c r="E80" s="38"/>
      <c r="F80" s="195" t="e">
        <f>F71</f>
        <v>#DIV/0!</v>
      </c>
      <c r="G80" s="135" t="s">
        <v>133</v>
      </c>
      <c r="I80" s="151"/>
      <c r="K80"/>
    </row>
    <row r="81" spans="1:11" x14ac:dyDescent="0.2">
      <c r="B81" s="76"/>
      <c r="C81" s="41" t="s">
        <v>36</v>
      </c>
      <c r="D81" s="51" t="s">
        <v>2</v>
      </c>
      <c r="E81" s="38"/>
      <c r="F81" s="171">
        <v>0</v>
      </c>
      <c r="G81" s="135" t="s">
        <v>129</v>
      </c>
      <c r="I81" s="151" t="str">
        <f>IF(F81&lt;=0,"keine Angabe","entspricht "&amp;ROUND(F81/$F$15,2)&amp;" € pro erreichbarem Haushalt bzw. "&amp;ROUND(F81/($F$20+$F$25+F26),2)&amp;" € pro tatsächlich angeschlossenem Haushalt")</f>
        <v>keine Angabe</v>
      </c>
      <c r="J81" s="170" t="s">
        <v>181</v>
      </c>
      <c r="K81"/>
    </row>
    <row r="82" spans="1:11" ht="15" customHeight="1" x14ac:dyDescent="0.2">
      <c r="B82" s="76"/>
      <c r="C82" s="35" t="s">
        <v>37</v>
      </c>
      <c r="D82" s="51"/>
      <c r="E82" s="38"/>
      <c r="F82" s="171">
        <v>0</v>
      </c>
      <c r="G82" s="135" t="s">
        <v>129</v>
      </c>
      <c r="I82" s="151" t="str">
        <f>IF(F82&lt;=0,"keine Angabe","entspricht "&amp;ROUND(F82/$F$15,2)&amp;" € pro erreichbarem Haushalt bzw. "&amp;ROUND(F82/($F$20+$F$25+$F$26),2)&amp;" € pro tatsächlich angeschlossenem Haushalt")</f>
        <v>keine Angabe</v>
      </c>
      <c r="J82" s="170" t="s">
        <v>66</v>
      </c>
      <c r="K82"/>
    </row>
    <row r="83" spans="1:11" x14ac:dyDescent="0.2">
      <c r="B83" s="76"/>
      <c r="C83" s="35" t="s">
        <v>38</v>
      </c>
      <c r="D83" s="51"/>
      <c r="E83" s="38"/>
      <c r="F83" s="172">
        <f>SUM(F81:F82)</f>
        <v>0</v>
      </c>
      <c r="G83" s="135" t="s">
        <v>129</v>
      </c>
      <c r="I83" s="151" t="str">
        <f>IF(F83&lt;=0,"eine Angabe zu Investitionskosten fehlt!","entspricht "&amp;ROUND(F83/$F$15,2)&amp;" € pro erreichbarem Haushalt bzw. "&amp;ROUND(F83/($F$20+$F$25+$F$26),2)&amp;" € pro tatsächlich angeschlossenem Haushalt")</f>
        <v>eine Angabe zu Investitionskosten fehlt!</v>
      </c>
      <c r="J83" s="170"/>
      <c r="K83"/>
    </row>
    <row r="84" spans="1:11" ht="15" customHeight="1" x14ac:dyDescent="0.2">
      <c r="B84" s="76"/>
      <c r="C84" s="41" t="s">
        <v>26</v>
      </c>
      <c r="D84" s="51"/>
      <c r="E84" s="38"/>
      <c r="F84" s="171">
        <v>0</v>
      </c>
      <c r="G84" s="135" t="s">
        <v>129</v>
      </c>
      <c r="I84" s="151" t="str">
        <f>IF(F84&lt;=0,"keine Angabe","Förderanteil "&amp;ROUND(F84/F81*100,2)&amp;" %")</f>
        <v>keine Angabe</v>
      </c>
      <c r="J84" s="170" t="s">
        <v>182</v>
      </c>
      <c r="K84"/>
    </row>
    <row r="85" spans="1:11" x14ac:dyDescent="0.2">
      <c r="B85" s="76"/>
      <c r="C85" s="35" t="s">
        <v>144</v>
      </c>
      <c r="D85" s="51"/>
      <c r="E85" s="38"/>
      <c r="F85" s="172">
        <f>F83-F84</f>
        <v>0</v>
      </c>
      <c r="G85" s="135" t="s">
        <v>129</v>
      </c>
      <c r="I85" s="151"/>
      <c r="K85"/>
    </row>
    <row r="86" spans="1:11" ht="25.5" x14ac:dyDescent="0.2">
      <c r="B86" s="76"/>
      <c r="C86" s="176" t="s">
        <v>6</v>
      </c>
      <c r="D86" s="51" t="s">
        <v>15</v>
      </c>
      <c r="E86" s="38"/>
      <c r="F86" s="174">
        <v>20</v>
      </c>
      <c r="G86" s="135" t="s">
        <v>131</v>
      </c>
      <c r="H86" s="196"/>
      <c r="I86" s="151"/>
      <c r="J86" s="170"/>
      <c r="K86"/>
    </row>
    <row r="87" spans="1:11" x14ac:dyDescent="0.2">
      <c r="B87" s="76"/>
      <c r="C87" s="35" t="s">
        <v>132</v>
      </c>
      <c r="D87" s="44" t="s">
        <v>8</v>
      </c>
      <c r="E87" s="38"/>
      <c r="F87" s="175">
        <f>F85/F86</f>
        <v>0</v>
      </c>
      <c r="G87" s="135" t="s">
        <v>133</v>
      </c>
      <c r="H87" s="196"/>
      <c r="I87" s="151"/>
      <c r="K87"/>
    </row>
    <row r="88" spans="1:11" ht="15" customHeight="1" x14ac:dyDescent="0.2">
      <c r="B88" s="76"/>
      <c r="C88" s="35" t="s">
        <v>134</v>
      </c>
      <c r="D88" s="44" t="s">
        <v>8</v>
      </c>
      <c r="E88" s="38"/>
      <c r="F88" s="175">
        <f>F85/2*$F$43</f>
        <v>0</v>
      </c>
      <c r="G88" s="135" t="s">
        <v>133</v>
      </c>
      <c r="I88" s="151"/>
      <c r="K88"/>
    </row>
    <row r="89" spans="1:11" ht="15" customHeight="1" x14ac:dyDescent="0.2">
      <c r="B89" s="76"/>
      <c r="C89" s="35" t="s">
        <v>5</v>
      </c>
      <c r="D89" s="44" t="s">
        <v>8</v>
      </c>
      <c r="E89" s="38"/>
      <c r="F89" s="175">
        <f>F83*$F$44</f>
        <v>0</v>
      </c>
      <c r="G89" s="135" t="s">
        <v>133</v>
      </c>
      <c r="I89" s="151"/>
      <c r="K89"/>
    </row>
    <row r="90" spans="1:11" ht="13.5" thickBot="1" x14ac:dyDescent="0.25">
      <c r="B90" s="76"/>
      <c r="C90" s="50" t="s">
        <v>0</v>
      </c>
      <c r="D90" s="50"/>
      <c r="E90" s="38"/>
      <c r="F90" s="177" t="e">
        <f>F80+F87+F88+F89</f>
        <v>#DIV/0!</v>
      </c>
      <c r="G90" s="135" t="s">
        <v>133</v>
      </c>
      <c r="I90" s="151"/>
      <c r="K90"/>
    </row>
    <row r="91" spans="1:11" ht="13.5" thickTop="1" x14ac:dyDescent="0.2">
      <c r="I91" s="151"/>
      <c r="K91"/>
    </row>
    <row r="92" spans="1:11" ht="13.15" customHeight="1" x14ac:dyDescent="0.2">
      <c r="A92" s="22" t="s">
        <v>48</v>
      </c>
      <c r="D92" s="14"/>
      <c r="E92" s="38"/>
      <c r="I92" s="151"/>
      <c r="K92"/>
    </row>
    <row r="93" spans="1:11" ht="13.15" customHeight="1" x14ac:dyDescent="0.2">
      <c r="D93" s="14"/>
      <c r="E93" s="38"/>
      <c r="I93" s="151"/>
      <c r="K93"/>
    </row>
    <row r="94" spans="1:11" ht="13.15" customHeight="1" x14ac:dyDescent="0.2">
      <c r="B94" s="45"/>
      <c r="C94" s="45" t="s">
        <v>44</v>
      </c>
      <c r="D94" s="178" t="s">
        <v>175</v>
      </c>
      <c r="E94" s="45"/>
      <c r="F94" s="179">
        <v>0</v>
      </c>
      <c r="G94" s="135" t="s">
        <v>133</v>
      </c>
      <c r="I94" s="151" t="str">
        <f>IF(F94&gt;0,"gesonderte Nachweise sind zu erbringen!","")</f>
        <v/>
      </c>
      <c r="J94" s="170" t="s">
        <v>180</v>
      </c>
      <c r="K94"/>
    </row>
    <row r="95" spans="1:11" ht="13.15" customHeight="1" x14ac:dyDescent="0.2">
      <c r="D95" s="14"/>
      <c r="E95" s="38"/>
      <c r="I95" s="151"/>
      <c r="K95"/>
    </row>
    <row r="96" spans="1:11" ht="13.15" customHeight="1" thickBot="1" x14ac:dyDescent="0.25">
      <c r="B96" s="52" t="s">
        <v>46</v>
      </c>
      <c r="C96" s="52"/>
      <c r="D96" s="52"/>
      <c r="E96" s="38"/>
      <c r="F96" s="180" t="e">
        <f>SUM(F94+F90)</f>
        <v>#DIV/0!</v>
      </c>
      <c r="G96" s="135" t="s">
        <v>133</v>
      </c>
      <c r="I96" s="151"/>
      <c r="K96"/>
    </row>
    <row r="97" spans="1:11" ht="13.5" thickTop="1" x14ac:dyDescent="0.2">
      <c r="B97" s="78"/>
      <c r="D97" s="14"/>
      <c r="E97" s="38"/>
      <c r="I97" s="151"/>
      <c r="K97"/>
    </row>
    <row r="98" spans="1:11" x14ac:dyDescent="0.2">
      <c r="A98" s="22" t="s">
        <v>145</v>
      </c>
      <c r="D98" s="14"/>
      <c r="E98" s="38"/>
      <c r="I98" s="151"/>
      <c r="K98"/>
    </row>
    <row r="99" spans="1:11" x14ac:dyDescent="0.2">
      <c r="B99" s="78"/>
      <c r="D99" s="14"/>
      <c r="E99" s="38"/>
      <c r="K99"/>
    </row>
    <row r="100" spans="1:11" ht="12.75" customHeight="1" x14ac:dyDescent="0.2">
      <c r="B100" s="54" t="s">
        <v>146</v>
      </c>
      <c r="C100" s="55"/>
      <c r="D100" s="56"/>
      <c r="E100" s="38"/>
      <c r="F100" s="181"/>
      <c r="K100"/>
    </row>
    <row r="101" spans="1:11" ht="25.5" x14ac:dyDescent="0.2">
      <c r="B101" s="55"/>
      <c r="C101" s="197" t="s">
        <v>55</v>
      </c>
      <c r="D101" s="182" t="e">
        <f>ROUND($F$19/$D$104*100,2)&amp;" % für "&amp;$F$19&amp;"m von "&amp;$D$104&amp;"m"</f>
        <v>#DIV/0!</v>
      </c>
      <c r="E101" s="38"/>
      <c r="F101" s="183" t="e">
        <f>$F$96*$F$19/$D$104</f>
        <v>#DIV/0!</v>
      </c>
      <c r="G101" s="135" t="s">
        <v>133</v>
      </c>
      <c r="I101" s="151" t="e">
        <f>IF(F101&gt;0,"entspricht € "&amp;ROUND(F101/$F$19/12,2)&amp;" pro Meter und Monat","")</f>
        <v>#DIV/0!</v>
      </c>
      <c r="K101"/>
    </row>
    <row r="102" spans="1:11" ht="25.5" x14ac:dyDescent="0.2">
      <c r="B102" s="55"/>
      <c r="C102" s="197" t="s">
        <v>56</v>
      </c>
      <c r="D102" s="182" t="e">
        <f>ROUND($F$24/$D$104*100,2)&amp;" % für "&amp;$F$24&amp;"m von "&amp;$D$104&amp;"m"</f>
        <v>#DIV/0!</v>
      </c>
      <c r="E102" s="38"/>
      <c r="F102" s="183" t="e">
        <f>$F$96*$F$24/$D$104</f>
        <v>#DIV/0!</v>
      </c>
      <c r="G102" s="135" t="s">
        <v>133</v>
      </c>
      <c r="I102" s="151" t="e">
        <f>IF(F102&gt;0,"entspricht € "&amp;ROUND(F102/$F$24/12,2)&amp;" pro Meter und Monat","")</f>
        <v>#DIV/0!</v>
      </c>
      <c r="K102"/>
    </row>
    <row r="103" spans="1:11" x14ac:dyDescent="0.2">
      <c r="B103" s="55"/>
      <c r="C103" s="184" t="s">
        <v>147</v>
      </c>
      <c r="D103" s="185" t="str">
        <f>IF($F$35="ja",ROUND($F$36/$D$104*100,2)&amp;" % für "&amp;$F$36&amp;"m von "&amp;$D$104&amp;"m","")</f>
        <v/>
      </c>
      <c r="E103" s="38"/>
      <c r="F103" s="186">
        <f>IF(F35="ja",$F$96*$F$36/$D$104,0)</f>
        <v>0</v>
      </c>
      <c r="G103" s="135" t="s">
        <v>133</v>
      </c>
      <c r="I103" s="151" t="str">
        <f>IF(F103&gt;0,"entspricht € "&amp;ROUND(F103/$F$36/12,2)&amp;" pro Meter und Monat","")</f>
        <v/>
      </c>
      <c r="K103"/>
    </row>
    <row r="104" spans="1:11" ht="13.5" thickBot="1" x14ac:dyDescent="0.25">
      <c r="B104" s="55"/>
      <c r="C104" s="198" t="s">
        <v>142</v>
      </c>
      <c r="D104" s="188">
        <f>IF(F35="ja",$F$19+$F$24+$F$36,$F$19+$F$24)</f>
        <v>0</v>
      </c>
      <c r="E104" s="189"/>
      <c r="F104" s="190" t="e">
        <f>SUM(F101:F103)</f>
        <v>#DIV/0!</v>
      </c>
      <c r="G104" s="135" t="s">
        <v>133</v>
      </c>
      <c r="I104" s="151" t="e">
        <f>IF(F104&gt;0,"entspricht € "&amp;ROUND(F104/$D$104/12,2)&amp;" pro Meter und Monat","")</f>
        <v>#DIV/0!</v>
      </c>
      <c r="K104"/>
    </row>
    <row r="105" spans="1:11" ht="13.5" thickTop="1" x14ac:dyDescent="0.2">
      <c r="B105" s="78"/>
      <c r="D105" s="14"/>
      <c r="E105" s="38"/>
      <c r="K105"/>
    </row>
    <row r="106" spans="1:11" x14ac:dyDescent="0.2">
      <c r="A106" s="22" t="s">
        <v>148</v>
      </c>
      <c r="B106" s="78"/>
      <c r="D106" s="14"/>
      <c r="E106" s="38"/>
      <c r="K106"/>
    </row>
    <row r="107" spans="1:11" x14ac:dyDescent="0.2">
      <c r="B107" s="78"/>
      <c r="D107" s="14"/>
      <c r="E107" s="38"/>
      <c r="K107"/>
    </row>
    <row r="108" spans="1:11" ht="12.75" customHeight="1" x14ac:dyDescent="0.2">
      <c r="B108" s="54" t="s">
        <v>149</v>
      </c>
      <c r="C108" s="55"/>
      <c r="D108" s="56"/>
      <c r="E108" s="38"/>
      <c r="F108" s="181"/>
      <c r="K108"/>
    </row>
    <row r="109" spans="1:11" x14ac:dyDescent="0.2">
      <c r="B109" s="55"/>
      <c r="C109" s="197" t="s">
        <v>109</v>
      </c>
      <c r="D109" s="182" t="e">
        <f>ROUND($F$20/$D$115*100,2)&amp;" % von "&amp;ROUND($F$101,2)&amp;" € für "&amp;$F$20&amp;" Anschlüsse von "&amp;$D$115&amp;" Anschlüssen"</f>
        <v>#DIV/0!</v>
      </c>
      <c r="E109" s="38"/>
      <c r="F109" s="183" t="e">
        <f>$F$101*$F$20/$D$115</f>
        <v>#DIV/0!</v>
      </c>
      <c r="G109" s="135" t="s">
        <v>133</v>
      </c>
      <c r="I109" s="151" t="e">
        <f>IF(F109&gt;0,"entspricht € "&amp;ROUND(F109/$F$20/12,2)&amp;" pro Anschluss und Monat","")</f>
        <v>#DIV/0!</v>
      </c>
      <c r="K109"/>
    </row>
    <row r="110" spans="1:11" ht="25.5" hidden="1" x14ac:dyDescent="0.2">
      <c r="B110" s="55"/>
      <c r="C110" s="199" t="s">
        <v>176</v>
      </c>
      <c r="D110" s="200" t="e">
        <f>ROUND($F$26/$D$115*100,2)&amp;" % von "&amp;ROUND($F$101,2)&amp;" € für "&amp;$F$26&amp;" Anschlüsse von "&amp;$D$115&amp;" Anschlüssen"</f>
        <v>#DIV/0!</v>
      </c>
      <c r="F110" s="201" t="e">
        <f>$F$101*$F$26/$D$115</f>
        <v>#DIV/0!</v>
      </c>
      <c r="G110" s="202" t="s">
        <v>133</v>
      </c>
      <c r="I110" s="151" t="e">
        <f>IF(F110&gt;0,"entspricht € "&amp;ROUND(F110/$F$26/12,2)&amp;" pro Anschluss und Monat","")</f>
        <v>#DIV/0!</v>
      </c>
      <c r="K110"/>
    </row>
    <row r="111" spans="1:11" x14ac:dyDescent="0.2">
      <c r="B111" s="55"/>
      <c r="C111" s="199" t="s">
        <v>150</v>
      </c>
      <c r="D111" s="200" t="e">
        <f>IF($F$31="ja",ROUND($F$32/$D$115*100,2)&amp;" % von "&amp;ROUND($F$101,2)&amp;" € für "&amp;$F$32&amp;" Anschlüsse von "&amp;$D$115&amp;" Anschlüssen","keine")</f>
        <v>#DIV/0!</v>
      </c>
      <c r="E111" s="38"/>
      <c r="F111" s="201" t="e">
        <f>IF($F$31="ja",$F$101*$F$32/$D$115,0)</f>
        <v>#DIV/0!</v>
      </c>
      <c r="G111" s="202" t="s">
        <v>133</v>
      </c>
      <c r="I111" s="151" t="e">
        <f>IF(F111&gt;0,"entspricht € "&amp;ROUND(F111/$F$32/12,2)&amp;" pro Anschluss und Monat","")</f>
        <v>#DIV/0!</v>
      </c>
      <c r="K111"/>
    </row>
    <row r="112" spans="1:11" ht="25.5" hidden="1" x14ac:dyDescent="0.2">
      <c r="B112" s="55"/>
      <c r="C112" s="199" t="s">
        <v>177</v>
      </c>
      <c r="D112" s="200" t="e">
        <f>ROUND($F$25/$D$115*100,2)&amp;" % von "&amp;ROUND($F$101,2)&amp;" € für "&amp;$F$25&amp;" Anschlüsse von "&amp;$D$115&amp;" Anschlüssen"</f>
        <v>#DIV/0!</v>
      </c>
      <c r="E112" s="38"/>
      <c r="F112" s="201" t="e">
        <f>$F$101*$F$25/$D$115</f>
        <v>#DIV/0!</v>
      </c>
      <c r="G112" s="202" t="s">
        <v>133</v>
      </c>
      <c r="I112" s="151" t="e">
        <f>IF(F112&gt;0,"entspricht € "&amp;ROUND(F112/$F$25/12,2)&amp;" pro Anschluss und Monat","")</f>
        <v>#DIV/0!</v>
      </c>
      <c r="K112"/>
    </row>
    <row r="113" spans="1:11" x14ac:dyDescent="0.2">
      <c r="B113" s="55"/>
      <c r="C113" s="184" t="s">
        <v>151</v>
      </c>
      <c r="D113" s="185" t="str">
        <f>IF($F$33="ja",ROUND($F$34/$D$115*100,2)&amp;" % von "&amp;ROUND($F$101,2)&amp;" € für "&amp;$F$34&amp;" Anschlüsse von "&amp;$D$115&amp;" Anschlüssen","")</f>
        <v/>
      </c>
      <c r="E113" s="38"/>
      <c r="F113" s="186">
        <f>IF($F$33="ja",$F$101*$F$34/$D$115,0)</f>
        <v>0</v>
      </c>
      <c r="G113" s="135" t="s">
        <v>133</v>
      </c>
      <c r="I113" s="151" t="str">
        <f>IF(F113&gt;0,"entspricht € "&amp;ROUND(F113/$F$34/12,2)&amp;" pro Anschluss und Monat","")</f>
        <v/>
      </c>
      <c r="K113"/>
    </row>
    <row r="114" spans="1:11" x14ac:dyDescent="0.2">
      <c r="B114" s="55"/>
      <c r="C114" s="199" t="s">
        <v>152</v>
      </c>
      <c r="D114" s="200" t="e">
        <f>IF($F$33="ja",IF($F$31="ja",ROUND(($D$115-($F$20+$F$25+$F$34+$F$26+$F$32))/$D$115*100,2)&amp;" % von "&amp;ROUND($F$101,2)&amp;" € für "&amp;$D$115-($F$20+$F$25+$F$34+$F$26+$F$32)&amp;" Anschlüsse von "&amp;$D$115&amp;" Anschlüssen",ROUND(($D$115-($F$20+$F$25+$F$34+$F$26))/$D$115*100,2)&amp;" % von "&amp;ROUND($F$101,2)&amp;" € für "&amp;$D$115-($F$20+$F$25+$F$34+$F$26)&amp;" Anschlüsse von "&amp;$D$115&amp;" Anschlüssen"),IF($F$31="ja",ROUND(($D$115-($F$20+$F$25+$F$26+$F$32))/$D$115*100,2)&amp;" % von "&amp;ROUND($F$101,2)&amp;" € für "&amp;$D$115-($F$20+$F$25+$F$26+$F$32)&amp;" Anschlüsse von "&amp;$D$115&amp;" Anschlüssen",ROUND(($D$115-($F$20+$F$25+$F$26))/$D$115*100,2)&amp;" % von "&amp;ROUND($F$101,2)&amp;" € für "&amp;$D$115-($F$20+$F$25+$F$26)&amp;" Anschlüsse von "&amp;$D$115&amp;" Anschlüssen"))</f>
        <v>#DIV/0!</v>
      </c>
      <c r="E114" s="38"/>
      <c r="F114" s="201" t="e">
        <f>IF($F$33="ja",IF($F$31="ja",$F$101*($D$115-($F$20+$F$25+$F$34+$F$26+$F$32))/$D$115,$F$101*($D$115-($F$20+$F$25+$F$34+$F$26))/$D$115),IF($F$31="ja",$F$101*($D$115-($F$20+$F$25+$F$26+$F$32))/$D$115,$F$101*($D$115-($F$20+$F$25+$F$26))/$D$115))</f>
        <v>#DIV/0!</v>
      </c>
      <c r="G114" s="202" t="s">
        <v>133</v>
      </c>
      <c r="I114" s="151" t="e">
        <f>IF(F114&gt;0,IF($F$33="ja",IF($F$31="ja","entspricht € "&amp;ROUND(F114/($D$115-($F$20+$F$25+$F$34+$F$26+$F$32))/12,2)&amp;" pro Anschluss und Monat","entspricht € "&amp;ROUND(F114/($D$115-($F$20+$F$25+$F$34+$F$26))/12,2)&amp;" pro Anschluss und Monat"),IF($F$31="ja","entspricht € "&amp;ROUND(F114/($D$115-($F$20+$F$25+$F$26+$F$32))/12,2)&amp;" pro Anschluss und Monat","entspricht € "&amp;ROUND(F114/($D$115-($F$20+$F$25+$F$26))/12,2)&amp;" pro Anschluss und Monat")),"negative Werte weisen hier eine Kostenüberdeckung aus, die mit der negativ dargestellten Anzahl an Anschlüssen erzielt wird.")</f>
        <v>#DIV/0!</v>
      </c>
      <c r="K114"/>
    </row>
    <row r="115" spans="1:11" ht="13.5" thickBot="1" x14ac:dyDescent="0.25">
      <c r="B115" s="55"/>
      <c r="C115" s="198" t="s">
        <v>153</v>
      </c>
      <c r="D115" s="188">
        <f>ROUNDDOWN(F15*F3,0)</f>
        <v>0</v>
      </c>
      <c r="E115" s="189"/>
      <c r="F115" s="190" t="e">
        <f>SUM(F109:F114)</f>
        <v>#DIV/0!</v>
      </c>
      <c r="G115" s="135" t="s">
        <v>133</v>
      </c>
      <c r="I115" s="151" t="e">
        <f>IF(F115&gt;0,"entspricht € "&amp;ROUND(F115/$D$115/12,2)&amp;" pro Anschluss und Monat","")</f>
        <v>#DIV/0!</v>
      </c>
      <c r="J115">
        <f>($D$115-($F$20+$F$25+$F$34+$F$26+$F$32))</f>
        <v>0</v>
      </c>
      <c r="K115" s="203"/>
    </row>
    <row r="116" spans="1:11" ht="13.5" thickTop="1" x14ac:dyDescent="0.2">
      <c r="B116" s="78"/>
      <c r="D116" s="14"/>
      <c r="E116" s="38"/>
      <c r="J116" s="168">
        <f>($D$115-($F$20+$F$25+$F$26+$F$32))</f>
        <v>0</v>
      </c>
      <c r="K116"/>
    </row>
    <row r="117" spans="1:11" x14ac:dyDescent="0.2">
      <c r="A117" s="93"/>
      <c r="B117" s="93"/>
      <c r="C117" s="73"/>
      <c r="D117" s="94"/>
      <c r="E117" s="204"/>
      <c r="I117" s="137" t="e">
        <f>($D$115-$F$20+$F$25+$F$34+$F$26+$F$32)/$D$115</f>
        <v>#DIV/0!</v>
      </c>
      <c r="J117" s="168">
        <f>($D$115-($F$20+$F$25+$F$26))</f>
        <v>0</v>
      </c>
    </row>
    <row r="118" spans="1:11" ht="12.75" customHeight="1" x14ac:dyDescent="0.2">
      <c r="A118" s="22" t="s">
        <v>154</v>
      </c>
      <c r="D118" s="14"/>
      <c r="E118" s="38"/>
      <c r="I118" s="151"/>
      <c r="K118"/>
    </row>
    <row r="119" spans="1:11" x14ac:dyDescent="0.2">
      <c r="A119" s="22"/>
      <c r="D119" s="14"/>
      <c r="E119" s="38"/>
      <c r="I119" s="151"/>
      <c r="K119"/>
    </row>
    <row r="120" spans="1:11" ht="12.75" customHeight="1" x14ac:dyDescent="0.2">
      <c r="B120" s="76" t="s">
        <v>155</v>
      </c>
      <c r="C120" s="35"/>
      <c r="D120" s="51"/>
      <c r="E120" s="38"/>
      <c r="F120" s="192"/>
      <c r="I120" s="151"/>
      <c r="K120"/>
    </row>
    <row r="121" spans="1:11" ht="25.5" x14ac:dyDescent="0.2">
      <c r="B121" s="76"/>
      <c r="C121" s="193" t="s">
        <v>156</v>
      </c>
      <c r="D121" s="205" t="e">
        <f>IF(F33="ja","rund "&amp;ROUND((D115-($F$25+$F$34))/$D$115*100,2)&amp;" % von "&amp;ROUND(F101,2)&amp;" € für "&amp;(D115-($F$25+$F$34))&amp;" auf Aktivebene potentiell nachgefragte Anschlüsse von gesamt "&amp;$D$115&amp;" Anschlüssen","rund "&amp;ROUND((D115-($F$25))/$D$115*100,2)&amp;" % von "&amp;ROUND(F101,2)&amp;" € für "&amp;(D115-($F$25))&amp;" auf Aktivebene potentiell nachgefragte Anschlüsse von gesamt "&amp;$D$115&amp;" Anschlüssen")</f>
        <v>#DIV/0!</v>
      </c>
      <c r="E121" s="38"/>
      <c r="F121" s="195" t="e">
        <f>F109+F110+F111+F114</f>
        <v>#DIV/0!</v>
      </c>
      <c r="G121" s="135" t="s">
        <v>133</v>
      </c>
      <c r="I121" s="151"/>
      <c r="K121"/>
    </row>
    <row r="122" spans="1:11" ht="15" customHeight="1" x14ac:dyDescent="0.2">
      <c r="B122" s="76"/>
      <c r="C122" s="41" t="s">
        <v>36</v>
      </c>
      <c r="D122" s="51" t="s">
        <v>2</v>
      </c>
      <c r="E122" s="38"/>
      <c r="F122" s="171">
        <v>0</v>
      </c>
      <c r="G122" s="135" t="s">
        <v>129</v>
      </c>
      <c r="I122" s="151" t="str">
        <f>IF(F122&lt;=0,"keine Angabe","entspricht "&amp;ROUND(F122/($F$20+$F$25+$F$26),2)&amp;" € pro tatsächlich angeschlossenem Haushalt")</f>
        <v>keine Angabe</v>
      </c>
      <c r="J122" s="170" t="s">
        <v>181</v>
      </c>
      <c r="K122"/>
    </row>
    <row r="123" spans="1:11" x14ac:dyDescent="0.2">
      <c r="B123" s="76"/>
      <c r="C123" s="35" t="s">
        <v>37</v>
      </c>
      <c r="D123" s="51"/>
      <c r="E123" s="38"/>
      <c r="F123" s="171">
        <v>0</v>
      </c>
      <c r="G123" s="135" t="s">
        <v>129</v>
      </c>
      <c r="I123" s="151" t="str">
        <f>IF(F123&lt;=0,"keine Angabe","entspricht "&amp;ROUND(F123/($F$20+$F$25+$F$26),2)&amp;" € pro tatsächlich angeschlossenem Haushalt")</f>
        <v>keine Angabe</v>
      </c>
      <c r="J123" s="170" t="s">
        <v>66</v>
      </c>
      <c r="K123"/>
    </row>
    <row r="124" spans="1:11" x14ac:dyDescent="0.2">
      <c r="B124" s="76"/>
      <c r="C124" s="35" t="s">
        <v>38</v>
      </c>
      <c r="D124" s="51"/>
      <c r="E124" s="38"/>
      <c r="F124" s="172">
        <f>SUM(F122:F123)</f>
        <v>0</v>
      </c>
      <c r="G124" s="135" t="s">
        <v>129</v>
      </c>
      <c r="I124" s="151" t="str">
        <f>IF(F124&lt;=0,"eine Angabe zu Investitionskosten fehlt!","entspricht "&amp;ROUND(F124/($F$20+$F$25+$F$26),2)&amp;" € pro tatsächlich angeschlossenem Haushalt")</f>
        <v>eine Angabe zu Investitionskosten fehlt!</v>
      </c>
      <c r="J124" s="170"/>
      <c r="K124"/>
    </row>
    <row r="125" spans="1:11" ht="15" customHeight="1" x14ac:dyDescent="0.2">
      <c r="B125" s="76"/>
      <c r="C125" s="41" t="s">
        <v>26</v>
      </c>
      <c r="D125" s="51"/>
      <c r="E125" s="38"/>
      <c r="F125" s="171">
        <v>0</v>
      </c>
      <c r="G125" s="135" t="s">
        <v>129</v>
      </c>
      <c r="I125" s="151" t="str">
        <f>IF(F125&lt;=0,"keine Angabe","Förderanteil "&amp;ROUND(F125/F122*100,2)&amp;" %")</f>
        <v>keine Angabe</v>
      </c>
      <c r="J125" s="170" t="s">
        <v>182</v>
      </c>
      <c r="K125"/>
    </row>
    <row r="126" spans="1:11" x14ac:dyDescent="0.2">
      <c r="B126" s="76"/>
      <c r="C126" s="35" t="s">
        <v>144</v>
      </c>
      <c r="D126" s="51"/>
      <c r="E126" s="38"/>
      <c r="F126" s="172">
        <f>F124-F125</f>
        <v>0</v>
      </c>
      <c r="G126" s="135" t="s">
        <v>129</v>
      </c>
      <c r="I126" s="151"/>
      <c r="K126"/>
    </row>
    <row r="127" spans="1:11" ht="25.5" x14ac:dyDescent="0.2">
      <c r="B127" s="76"/>
      <c r="C127" s="176" t="s">
        <v>6</v>
      </c>
      <c r="D127" s="51" t="s">
        <v>15</v>
      </c>
      <c r="E127" s="38"/>
      <c r="F127" s="174">
        <v>20</v>
      </c>
      <c r="G127" s="135" t="s">
        <v>131</v>
      </c>
      <c r="H127" s="196"/>
      <c r="I127" s="151"/>
      <c r="J127" s="170"/>
      <c r="K127"/>
    </row>
    <row r="128" spans="1:11" x14ac:dyDescent="0.2">
      <c r="B128" s="76"/>
      <c r="C128" s="35" t="s">
        <v>132</v>
      </c>
      <c r="D128" s="44" t="s">
        <v>8</v>
      </c>
      <c r="E128" s="38"/>
      <c r="F128" s="175">
        <f>F126/F127</f>
        <v>0</v>
      </c>
      <c r="G128" s="135" t="s">
        <v>133</v>
      </c>
      <c r="H128" s="196"/>
      <c r="I128" s="151"/>
      <c r="K128"/>
    </row>
    <row r="129" spans="1:11" ht="15" customHeight="1" x14ac:dyDescent="0.2">
      <c r="B129" s="76"/>
      <c r="C129" s="35" t="s">
        <v>134</v>
      </c>
      <c r="D129" s="44" t="s">
        <v>8</v>
      </c>
      <c r="E129" s="38"/>
      <c r="F129" s="175">
        <f>F126/2*$F$43</f>
        <v>0</v>
      </c>
      <c r="G129" s="135" t="s">
        <v>133</v>
      </c>
      <c r="I129" s="151"/>
      <c r="K129"/>
    </row>
    <row r="130" spans="1:11" ht="15" customHeight="1" x14ac:dyDescent="0.2">
      <c r="B130" s="76"/>
      <c r="C130" s="35" t="s">
        <v>5</v>
      </c>
      <c r="D130" s="44" t="s">
        <v>8</v>
      </c>
      <c r="E130" s="38"/>
      <c r="F130" s="175">
        <f>F124*$F$44</f>
        <v>0</v>
      </c>
      <c r="G130" s="135" t="s">
        <v>133</v>
      </c>
      <c r="I130" s="151"/>
      <c r="K130"/>
    </row>
    <row r="131" spans="1:11" ht="13.5" thickBot="1" x14ac:dyDescent="0.25">
      <c r="B131" s="76"/>
      <c r="C131" s="50" t="s">
        <v>0</v>
      </c>
      <c r="D131" s="50"/>
      <c r="E131" s="38"/>
      <c r="F131" s="177" t="e">
        <f>F121+F128+F129+F130</f>
        <v>#DIV/0!</v>
      </c>
      <c r="G131" s="135" t="s">
        <v>133</v>
      </c>
      <c r="I131" s="151"/>
      <c r="K131"/>
    </row>
    <row r="132" spans="1:11" ht="13.5" thickTop="1" x14ac:dyDescent="0.2">
      <c r="A132" s="93"/>
      <c r="B132" s="93"/>
      <c r="C132" s="73"/>
      <c r="D132" s="94"/>
      <c r="E132" s="204"/>
    </row>
    <row r="133" spans="1:11" x14ac:dyDescent="0.2">
      <c r="A133" s="22" t="s">
        <v>157</v>
      </c>
      <c r="D133" s="14"/>
      <c r="E133" s="38"/>
    </row>
    <row r="134" spans="1:11" x14ac:dyDescent="0.2">
      <c r="D134" s="14"/>
      <c r="E134" s="38"/>
    </row>
    <row r="135" spans="1:11" x14ac:dyDescent="0.2">
      <c r="B135" s="45"/>
      <c r="C135" s="45" t="s">
        <v>44</v>
      </c>
      <c r="D135" s="178" t="s">
        <v>175</v>
      </c>
      <c r="E135" s="45"/>
      <c r="F135" s="179">
        <v>0</v>
      </c>
      <c r="G135" s="135" t="s">
        <v>133</v>
      </c>
      <c r="J135" s="170" t="s">
        <v>180</v>
      </c>
    </row>
    <row r="136" spans="1:11" x14ac:dyDescent="0.2">
      <c r="D136" s="14"/>
      <c r="E136" s="38"/>
    </row>
    <row r="137" spans="1:11" ht="13.5" thickBot="1" x14ac:dyDescent="0.25">
      <c r="B137" s="52" t="s">
        <v>46</v>
      </c>
      <c r="C137" s="52"/>
      <c r="D137" s="52"/>
      <c r="E137" s="38"/>
      <c r="F137" s="180" t="e">
        <f>SUM(F135+F131)</f>
        <v>#DIV/0!</v>
      </c>
      <c r="G137" s="135" t="s">
        <v>133</v>
      </c>
    </row>
    <row r="138" spans="1:11" ht="13.5" thickTop="1" x14ac:dyDescent="0.2">
      <c r="A138" s="93"/>
      <c r="B138" s="93"/>
      <c r="C138" s="73"/>
      <c r="D138" s="94"/>
      <c r="E138" s="204"/>
    </row>
    <row r="139" spans="1:11" x14ac:dyDescent="0.2">
      <c r="A139" s="22" t="s">
        <v>158</v>
      </c>
      <c r="B139" s="93"/>
      <c r="C139" s="73"/>
      <c r="D139" s="94"/>
      <c r="E139" s="204"/>
    </row>
    <row r="140" spans="1:11" x14ac:dyDescent="0.2">
      <c r="A140" s="93"/>
      <c r="B140" s="93"/>
      <c r="C140" s="73"/>
      <c r="D140" s="94"/>
      <c r="E140" s="204"/>
    </row>
    <row r="141" spans="1:11" ht="12.75" customHeight="1" x14ac:dyDescent="0.2">
      <c r="B141" s="54" t="s">
        <v>159</v>
      </c>
      <c r="C141" s="55"/>
      <c r="D141" s="56"/>
      <c r="E141" s="38"/>
      <c r="F141" s="181"/>
      <c r="K141"/>
    </row>
    <row r="142" spans="1:11" x14ac:dyDescent="0.2">
      <c r="B142" s="55"/>
      <c r="C142" s="197" t="s">
        <v>109</v>
      </c>
      <c r="D142" s="182" t="e">
        <f>ROUND($F$20/$D$146*100,2)&amp;" % von "&amp;ROUND($F$137,2)&amp;" € für "&amp;$F$20&amp;" Anschlüsse von "&amp;$D$146&amp;" Anschlüssen"</f>
        <v>#DIV/0!</v>
      </c>
      <c r="E142" s="38"/>
      <c r="F142" s="183" t="e">
        <f>$F$137*$F$20/$D$146</f>
        <v>#DIV/0!</v>
      </c>
      <c r="G142" s="135" t="s">
        <v>133</v>
      </c>
      <c r="I142" s="151" t="e">
        <f>IF(F142&gt;0,"entspricht € "&amp;ROUND(F142/$F$20/12,2)&amp;" pro Anschluss und Monat","")</f>
        <v>#DIV/0!</v>
      </c>
      <c r="K142"/>
    </row>
    <row r="143" spans="1:11" hidden="1" x14ac:dyDescent="0.2">
      <c r="B143" s="55"/>
      <c r="C143" s="199" t="s">
        <v>178</v>
      </c>
      <c r="D143" s="200" t="e">
        <f>ROUND($F$26/$D$146*100,2)&amp;" % von "&amp;ROUND(F137,2)&amp;" € für "&amp;$F$26&amp;" Anschlüsse von "&amp;$D$146&amp;" Anschlüssen"</f>
        <v>#DIV/0!</v>
      </c>
      <c r="F143" s="201" t="e">
        <f>$F$137*$F$26/$D$146</f>
        <v>#DIV/0!</v>
      </c>
      <c r="G143" s="202" t="s">
        <v>133</v>
      </c>
      <c r="I143" s="151" t="e">
        <f>IF(F143&gt;0,"entspricht € "&amp;ROUND(F143/$F$26/12,2)&amp;" pro Anschluss und Monat","")</f>
        <v>#DIV/0!</v>
      </c>
      <c r="K143"/>
    </row>
    <row r="144" spans="1:11" x14ac:dyDescent="0.2">
      <c r="B144" s="55"/>
      <c r="C144" s="184" t="s">
        <v>118</v>
      </c>
      <c r="D144" s="185" t="e">
        <f>IF($F$31="ja",ROUND($F$32/$D$146*100,2)&amp;" % von "&amp;ROUND(F137,2)&amp;" € für "&amp;$F$32&amp;" Anschlüsse von "&amp;$D$146&amp;" Anschlüssen","")</f>
        <v>#DIV/0!</v>
      </c>
      <c r="E144" s="38"/>
      <c r="F144" s="186" t="e">
        <f>IF($F$31="ja",$F$137*$F$32/$D$146,0)</f>
        <v>#DIV/0!</v>
      </c>
      <c r="G144" s="135" t="s">
        <v>133</v>
      </c>
      <c r="I144" s="151" t="e">
        <f>IF(F144&gt;0,"entspricht € "&amp;ROUND(F144/$F$32/12,2)&amp;" pro Anschluss und Monat","")</f>
        <v>#DIV/0!</v>
      </c>
      <c r="K144"/>
    </row>
    <row r="145" spans="1:16" x14ac:dyDescent="0.2">
      <c r="B145" s="55"/>
      <c r="C145" s="199" t="s">
        <v>152</v>
      </c>
      <c r="D145" s="200" t="e">
        <f>IF($F$31="ja",ROUND(($D$146-($F$20+$F$26+$F$32))/$D$146*100,2)&amp;" % von "&amp;ROUND(F137,2)&amp;" € für "&amp;$D$146-($F$20+$F$26+$F$32)&amp;" Anschlüsse von "&amp;$D$146&amp;" Anschlüssen",ROUND(($D$146-($F$20+$F$26))/$D$146*100,2)&amp;" % von "&amp;ROUND(F137,2)&amp;" € für "&amp;$D$146-($F$20+$F$26)&amp;" Anschlüsse von "&amp;$D$146&amp;" Anschlüssen")</f>
        <v>#DIV/0!</v>
      </c>
      <c r="E145" s="38"/>
      <c r="F145" s="201" t="e">
        <f>IF($F$31="ja",$F$137*($D$146-($F$20+$F$26+$F$32))/$D$146,$F$137*($D$146-($F$20+$F$26))/$D$146)</f>
        <v>#DIV/0!</v>
      </c>
      <c r="G145" s="202" t="s">
        <v>133</v>
      </c>
      <c r="I145" s="151" t="e">
        <f>IF(F145&gt;0,IF($F$31="ja","entspricht € "&amp;ROUND(F145/($D$146-($F$20+$F$26+$F$32))/12,2)&amp;" pro Anschluss und Monat","entspricht € "&amp;ROUND(F145/($D$146-($F$20+$F$26))/12,2)&amp;" pro Anschluss und Monat"),"negative Werte weisen hier eine Kostenüberdeckung aus, die mit der negativ dargestellten Anzahl an Anschlüssen erzielt wird.")</f>
        <v>#DIV/0!</v>
      </c>
      <c r="K145"/>
    </row>
    <row r="146" spans="1:16" ht="13.5" thickBot="1" x14ac:dyDescent="0.25">
      <c r="B146" s="55"/>
      <c r="C146" s="198" t="s">
        <v>153</v>
      </c>
      <c r="D146" s="188">
        <f>IF($F$33="ja",D115-(F25+F34),D115-(F25))</f>
        <v>0</v>
      </c>
      <c r="E146" s="189"/>
      <c r="F146" s="190" t="e">
        <f>SUM(F142:F145)</f>
        <v>#DIV/0!</v>
      </c>
      <c r="G146" s="135" t="s">
        <v>133</v>
      </c>
      <c r="I146" s="151" t="e">
        <f>IF(F146&gt;0,"entspricht € "&amp;ROUND(F146/$D$146/12,2)&amp;" pro Anschluss und Monat","")</f>
        <v>#DIV/0!</v>
      </c>
      <c r="K146" s="203"/>
    </row>
    <row r="147" spans="1:16" ht="13.5" thickTop="1" x14ac:dyDescent="0.2">
      <c r="B147" s="78"/>
      <c r="D147" s="14"/>
      <c r="E147" s="38"/>
      <c r="K147"/>
    </row>
    <row r="148" spans="1:16" x14ac:dyDescent="0.2">
      <c r="A148" s="93"/>
      <c r="B148" s="93"/>
      <c r="C148" s="73"/>
      <c r="D148" s="94"/>
      <c r="E148" s="204"/>
    </row>
    <row r="149" spans="1:16" s="136" customFormat="1" x14ac:dyDescent="0.2">
      <c r="A149" s="93"/>
      <c r="B149" s="93"/>
      <c r="C149" s="73"/>
      <c r="D149" s="94"/>
      <c r="E149" s="204"/>
      <c r="G149" s="206"/>
      <c r="I149" s="137"/>
      <c r="J149"/>
      <c r="K149" s="18"/>
      <c r="L149"/>
      <c r="M149"/>
      <c r="N149"/>
      <c r="O149"/>
      <c r="P149"/>
    </row>
    <row r="150" spans="1:16" s="136" customFormat="1" x14ac:dyDescent="0.2">
      <c r="A150"/>
      <c r="B150" s="22"/>
      <c r="C150"/>
      <c r="D150" s="207"/>
      <c r="E150" s="75"/>
      <c r="G150" s="135"/>
      <c r="I150" s="137"/>
      <c r="J150"/>
      <c r="K150" s="18"/>
      <c r="L150"/>
      <c r="M150"/>
      <c r="N150"/>
      <c r="O150"/>
      <c r="P150"/>
    </row>
    <row r="151" spans="1:16" s="136" customFormat="1" x14ac:dyDescent="0.2">
      <c r="A151"/>
      <c r="B151" s="78" t="s">
        <v>160</v>
      </c>
      <c r="C151"/>
      <c r="D151" s="14"/>
      <c r="E151"/>
      <c r="G151" s="135"/>
      <c r="I151" s="137"/>
      <c r="J151"/>
      <c r="K151" s="18"/>
      <c r="L151"/>
      <c r="M151"/>
      <c r="N151"/>
      <c r="O151"/>
      <c r="P151"/>
    </row>
    <row r="152" spans="1:16" s="136" customFormat="1" x14ac:dyDescent="0.2">
      <c r="A152"/>
      <c r="B152" s="170" t="s">
        <v>161</v>
      </c>
      <c r="C152" s="170" t="s">
        <v>162</v>
      </c>
      <c r="D152" s="207"/>
      <c r="E152"/>
      <c r="G152" s="135"/>
      <c r="I152" s="137"/>
      <c r="J152"/>
      <c r="K152" s="18"/>
      <c r="L152"/>
      <c r="M152"/>
      <c r="N152"/>
      <c r="O152"/>
      <c r="P152"/>
    </row>
    <row r="153" spans="1:16" s="136" customFormat="1" x14ac:dyDescent="0.2">
      <c r="A153"/>
      <c r="B153" s="170" t="s">
        <v>163</v>
      </c>
      <c r="C153" s="170" t="s">
        <v>164</v>
      </c>
      <c r="D153" s="14"/>
      <c r="E153"/>
      <c r="G153" s="135"/>
      <c r="I153" s="137"/>
      <c r="J153"/>
      <c r="K153" s="18"/>
      <c r="L153"/>
      <c r="M153"/>
      <c r="N153"/>
      <c r="O153"/>
      <c r="P153"/>
    </row>
    <row r="154" spans="1:16" s="136" customFormat="1" x14ac:dyDescent="0.2">
      <c r="A154"/>
      <c r="B154" s="170"/>
      <c r="C154" s="73"/>
      <c r="D154" s="207"/>
      <c r="E154"/>
      <c r="G154" s="135"/>
      <c r="I154" s="137"/>
      <c r="J154"/>
      <c r="K154" s="18"/>
      <c r="L154"/>
      <c r="M154"/>
      <c r="N154"/>
      <c r="O154"/>
      <c r="P154"/>
    </row>
    <row r="155" spans="1:16" s="136" customFormat="1" x14ac:dyDescent="0.2">
      <c r="A155"/>
      <c r="B155" s="170"/>
      <c r="C155" s="208"/>
      <c r="D155" s="14"/>
      <c r="E155"/>
      <c r="G155" s="135"/>
      <c r="I155" s="137"/>
      <c r="J155"/>
      <c r="K155" s="18"/>
      <c r="L155"/>
      <c r="M155"/>
      <c r="N155"/>
      <c r="O155"/>
      <c r="P155"/>
    </row>
    <row r="156" spans="1:16" s="136" customFormat="1" x14ac:dyDescent="0.2">
      <c r="A156"/>
      <c r="B156"/>
      <c r="C156"/>
      <c r="D156" s="207"/>
      <c r="E156"/>
      <c r="G156" s="135"/>
      <c r="I156" s="137"/>
      <c r="J156"/>
      <c r="K156" s="18"/>
      <c r="L156"/>
      <c r="M156"/>
      <c r="N156"/>
      <c r="O156"/>
      <c r="P156"/>
    </row>
    <row r="157" spans="1:16" s="136" customFormat="1" x14ac:dyDescent="0.2">
      <c r="A157"/>
      <c r="B157"/>
      <c r="C157"/>
      <c r="D157" s="14"/>
      <c r="E157"/>
      <c r="G157" s="135"/>
      <c r="I157" s="137"/>
      <c r="J157"/>
      <c r="K157" s="18"/>
      <c r="L157"/>
      <c r="M157"/>
      <c r="N157"/>
      <c r="O157"/>
      <c r="P157"/>
    </row>
    <row r="158" spans="1:16" s="136" customFormat="1" x14ac:dyDescent="0.2">
      <c r="A158"/>
      <c r="B158"/>
      <c r="C158" s="73"/>
      <c r="D158" s="207"/>
      <c r="E158"/>
      <c r="G158" s="135"/>
      <c r="I158" s="137"/>
      <c r="J158"/>
      <c r="K158" s="18"/>
      <c r="L158"/>
      <c r="M158"/>
      <c r="N158"/>
      <c r="O158"/>
      <c r="P158"/>
    </row>
    <row r="159" spans="1:16" s="136" customFormat="1" x14ac:dyDescent="0.2">
      <c r="A159"/>
      <c r="B159"/>
      <c r="C159"/>
      <c r="D159" s="14"/>
      <c r="E159"/>
      <c r="G159" s="135"/>
      <c r="I159" s="137"/>
      <c r="J159"/>
      <c r="K159" s="18"/>
      <c r="L159"/>
      <c r="M159"/>
      <c r="N159"/>
      <c r="O159"/>
      <c r="P159"/>
    </row>
    <row r="160" spans="1:16" s="136" customFormat="1" x14ac:dyDescent="0.2">
      <c r="A160"/>
      <c r="B160"/>
      <c r="C160"/>
      <c r="D160" s="207"/>
      <c r="E160"/>
      <c r="G160" s="135"/>
      <c r="I160" s="137"/>
      <c r="J160"/>
      <c r="K160" s="18"/>
      <c r="L160"/>
      <c r="M160"/>
      <c r="N160"/>
      <c r="O160"/>
      <c r="P160"/>
    </row>
    <row r="161" spans="1:16" s="136" customFormat="1" x14ac:dyDescent="0.2">
      <c r="A161"/>
      <c r="B161"/>
      <c r="C161"/>
      <c r="D161" s="14"/>
      <c r="E161"/>
      <c r="G161" s="135"/>
      <c r="I161" s="137"/>
      <c r="J161"/>
      <c r="K161" s="18"/>
      <c r="L161"/>
      <c r="M161"/>
      <c r="N161"/>
      <c r="O161"/>
      <c r="P161"/>
    </row>
    <row r="162" spans="1:16" s="136" customFormat="1" x14ac:dyDescent="0.2">
      <c r="A162"/>
      <c r="B162"/>
      <c r="C162"/>
      <c r="D162" s="207"/>
      <c r="E162"/>
      <c r="G162" s="135"/>
      <c r="I162" s="137"/>
      <c r="J162"/>
      <c r="K162" s="18"/>
      <c r="L162"/>
      <c r="M162"/>
      <c r="N162"/>
      <c r="O162"/>
      <c r="P162"/>
    </row>
    <row r="163" spans="1:16" s="136" customFormat="1" x14ac:dyDescent="0.2">
      <c r="A163"/>
      <c r="B163"/>
      <c r="C163"/>
      <c r="D163" s="14"/>
      <c r="E163"/>
      <c r="G163" s="135"/>
      <c r="I163" s="137"/>
      <c r="J163"/>
      <c r="K163" s="18"/>
      <c r="L163"/>
      <c r="M163"/>
      <c r="N163"/>
      <c r="O163"/>
      <c r="P163"/>
    </row>
    <row r="164" spans="1:16" s="136" customFormat="1" x14ac:dyDescent="0.2">
      <c r="A164"/>
      <c r="B164"/>
      <c r="C164"/>
      <c r="D164" s="207"/>
      <c r="E164"/>
      <c r="G164" s="135"/>
      <c r="I164" s="137"/>
      <c r="J164"/>
      <c r="K164" s="18"/>
      <c r="L164"/>
      <c r="M164"/>
      <c r="N164"/>
      <c r="O164"/>
      <c r="P164"/>
    </row>
    <row r="165" spans="1:16" s="136" customFormat="1" x14ac:dyDescent="0.2">
      <c r="A165"/>
      <c r="B165"/>
      <c r="C165"/>
      <c r="D165" s="14"/>
      <c r="E165"/>
      <c r="G165" s="135"/>
      <c r="I165" s="137"/>
      <c r="J165"/>
      <c r="K165" s="18"/>
      <c r="L165"/>
      <c r="M165"/>
      <c r="N165"/>
      <c r="O165"/>
      <c r="P165"/>
    </row>
    <row r="166" spans="1:16" s="136" customFormat="1" x14ac:dyDescent="0.2">
      <c r="A166"/>
      <c r="B166"/>
      <c r="C166"/>
      <c r="D166" s="207"/>
      <c r="E166"/>
      <c r="G166" s="135"/>
      <c r="I166" s="137"/>
      <c r="J166"/>
      <c r="K166" s="18"/>
      <c r="L166"/>
      <c r="M166"/>
      <c r="N166"/>
      <c r="O166"/>
      <c r="P166"/>
    </row>
    <row r="167" spans="1:16" s="136" customFormat="1" x14ac:dyDescent="0.2">
      <c r="A167"/>
      <c r="B167"/>
      <c r="C167"/>
      <c r="D167" s="14"/>
      <c r="E167"/>
      <c r="G167" s="135"/>
      <c r="I167" s="137"/>
      <c r="J167"/>
      <c r="K167" s="18"/>
      <c r="L167"/>
      <c r="M167"/>
      <c r="N167"/>
      <c r="O167"/>
      <c r="P167"/>
    </row>
    <row r="168" spans="1:16" s="136" customFormat="1" x14ac:dyDescent="0.2">
      <c r="A168"/>
      <c r="B168"/>
      <c r="C168"/>
      <c r="D168" s="14"/>
      <c r="E168"/>
      <c r="G168" s="135"/>
      <c r="I168" s="137"/>
      <c r="J168"/>
      <c r="K168" s="18"/>
      <c r="L168"/>
      <c r="M168"/>
      <c r="N168"/>
      <c r="O168"/>
      <c r="P168"/>
    </row>
    <row r="169" spans="1:16" s="136" customFormat="1" x14ac:dyDescent="0.2">
      <c r="A169"/>
      <c r="B169"/>
      <c r="C169"/>
      <c r="D169" s="207"/>
      <c r="E169" s="75"/>
      <c r="G169" s="135"/>
      <c r="I169" s="137"/>
      <c r="J169"/>
      <c r="K169" s="18"/>
      <c r="L169"/>
      <c r="M169"/>
      <c r="N169"/>
      <c r="O169"/>
      <c r="P169"/>
    </row>
    <row r="170" spans="1:16" s="136" customFormat="1" x14ac:dyDescent="0.2">
      <c r="A170"/>
      <c r="B170"/>
      <c r="C170"/>
      <c r="D170" s="207"/>
      <c r="E170" s="75"/>
      <c r="G170" s="135"/>
      <c r="I170" s="137"/>
      <c r="J170"/>
      <c r="K170" s="18"/>
      <c r="L170"/>
      <c r="M170"/>
      <c r="N170"/>
      <c r="O170"/>
      <c r="P170"/>
    </row>
    <row r="171" spans="1:16" s="136" customFormat="1" x14ac:dyDescent="0.2">
      <c r="A171"/>
      <c r="B171"/>
      <c r="C171"/>
      <c r="D171" s="14"/>
      <c r="E171"/>
      <c r="G171" s="135"/>
      <c r="I171" s="137"/>
      <c r="J171"/>
      <c r="K171" s="18"/>
      <c r="L171"/>
      <c r="M171"/>
      <c r="N171"/>
      <c r="O171"/>
      <c r="P171"/>
    </row>
    <row r="172" spans="1:16" s="136" customFormat="1" x14ac:dyDescent="0.2">
      <c r="A172"/>
      <c r="B172"/>
      <c r="C172"/>
      <c r="D172" s="14"/>
      <c r="E172"/>
      <c r="G172" s="135"/>
      <c r="I172" s="137"/>
      <c r="J172"/>
      <c r="K172" s="18"/>
      <c r="L172"/>
      <c r="M172"/>
      <c r="N172"/>
      <c r="O172"/>
      <c r="P172"/>
    </row>
    <row r="173" spans="1:16" s="136" customFormat="1" x14ac:dyDescent="0.2">
      <c r="A173"/>
      <c r="B173"/>
      <c r="C173"/>
      <c r="D173" s="207"/>
      <c r="E173" s="75"/>
      <c r="G173" s="135"/>
      <c r="I173" s="137"/>
      <c r="J173"/>
      <c r="K173" s="18"/>
      <c r="L173"/>
      <c r="M173"/>
      <c r="N173"/>
      <c r="O173"/>
      <c r="P173"/>
    </row>
  </sheetData>
  <mergeCells count="1">
    <mergeCell ref="C3:D3"/>
  </mergeCells>
  <pageMargins left="0.7" right="0.7" top="0.78740157499999996" bottom="0.78740157499999996" header="0.3" footer="0.3"/>
  <pageSetup paperSize="9" orientation="portrait" horizontalDpi="90" verticalDpi="9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Kalkulation Leerrohr</vt:lpstr>
      <vt:lpstr>Kalkulation Glasfaser</vt:lpstr>
      <vt:lpstr>Kalkulation Kollokationsfläche</vt:lpstr>
      <vt:lpstr>Kalkulation Mitbenutzung</vt:lpstr>
      <vt:lpstr>'Kalkulation Glasfaser'!Druckbereich</vt:lpstr>
      <vt:lpstr>'Kalkulation Kollokationsfläche'!Druckbereich</vt:lpstr>
      <vt:lpstr>'Kalkulation Leerrohr'!Druckbereich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2015-07-30T08:16:00Z</cp:lastPrinted>
  <dcterms:created xsi:type="dcterms:W3CDTF">1900-12-31T23:00:00Z</dcterms:created>
  <dcterms:modified xsi:type="dcterms:W3CDTF">2024-11-29T10:23:23Z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perId">
    <vt:lpwstr>MHEIGL</vt:lpwstr>
  </property>
  <property fmtid="{D5CDD505-2E9C-101B-9397-08002B2CF9AE}" pid="3" name="operName">
    <vt:lpwstr>Heigl, Martin</vt:lpwstr>
  </property>
  <property fmtid="{D5CDD505-2E9C-101B-9397-08002B2CF9AE}" pid="4" name="operLocation">
    <vt:lpwstr>Vienna</vt:lpwstr>
  </property>
  <property fmtid="{D5CDD505-2E9C-101B-9397-08002B2CF9AE}" pid="5" name="operExtension">
    <vt:lpwstr>562</vt:lpwstr>
  </property>
  <property fmtid="{D5CDD505-2E9C-101B-9397-08002B2CF9AE}" pid="6" name="operPhone">
    <vt:lpwstr>43 1 515 15 562</vt:lpwstr>
  </property>
  <property fmtid="{D5CDD505-2E9C-101B-9397-08002B2CF9AE}" pid="7" name="operEmail">
    <vt:lpwstr>martin.heigl@freshfields.com</vt:lpwstr>
  </property>
  <property fmtid="{D5CDD505-2E9C-101B-9397-08002B2CF9AE}" pid="8" name="operFax">
    <vt:lpwstr>43 1 515 15 655 93</vt:lpwstr>
  </property>
  <property fmtid="{D5CDD505-2E9C-101B-9397-08002B2CF9AE}" pid="9" name="operCorresp">
    <vt:lpwstr>Martin Heigl</vt:lpwstr>
  </property>
  <property fmtid="{D5CDD505-2E9C-101B-9397-08002B2CF9AE}" pid="10" name="operInitials">
    <vt:lpwstr/>
  </property>
  <property fmtid="{D5CDD505-2E9C-101B-9397-08002B2CF9AE}" pid="11" name="authId">
    <vt:lpwstr>BBURTSCHER</vt:lpwstr>
  </property>
  <property fmtid="{D5CDD505-2E9C-101B-9397-08002B2CF9AE}" pid="12" name="authName">
    <vt:lpwstr>Burtscher, Bertram</vt:lpwstr>
  </property>
  <property fmtid="{D5CDD505-2E9C-101B-9397-08002B2CF9AE}" pid="13" name="authLocation">
    <vt:lpwstr>Vienna</vt:lpwstr>
  </property>
  <property fmtid="{D5CDD505-2E9C-101B-9397-08002B2CF9AE}" pid="14" name="authExtension">
    <vt:lpwstr>119</vt:lpwstr>
  </property>
  <property fmtid="{D5CDD505-2E9C-101B-9397-08002B2CF9AE}" pid="15" name="authPhone">
    <vt:lpwstr>43 1 515 15 119</vt:lpwstr>
  </property>
  <property fmtid="{D5CDD505-2E9C-101B-9397-08002B2CF9AE}" pid="16" name="authEmail">
    <vt:lpwstr>bertram.burtscher@freshfields.com</vt:lpwstr>
  </property>
  <property fmtid="{D5CDD505-2E9C-101B-9397-08002B2CF9AE}" pid="17" name="authFax">
    <vt:lpwstr>43 1 512 63 94</vt:lpwstr>
  </property>
  <property fmtid="{D5CDD505-2E9C-101B-9397-08002B2CF9AE}" pid="18" name="authCorresp">
    <vt:lpwstr>Dr. Bertram Burtscher</vt:lpwstr>
  </property>
  <property fmtid="{D5CDD505-2E9C-101B-9397-08002B2CF9AE}" pid="19" name="authInitials">
    <vt:lpwstr>BB</vt:lpwstr>
  </property>
  <property fmtid="{D5CDD505-2E9C-101B-9397-08002B2CF9AE}" pid="20" name="docClass">
    <vt:lpwstr>COURT</vt:lpwstr>
  </property>
  <property fmtid="{D5CDD505-2E9C-101B-9397-08002B2CF9AE}" pid="21" name="docSubClass">
    <vt:lpwstr/>
  </property>
  <property fmtid="{D5CDD505-2E9C-101B-9397-08002B2CF9AE}" pid="22" name="docLanguage">
    <vt:lpwstr>EN(UK)</vt:lpwstr>
  </property>
  <property fmtid="{D5CDD505-2E9C-101B-9397-08002B2CF9AE}" pid="23" name="docClient">
    <vt:lpwstr>153938</vt:lpwstr>
  </property>
  <property fmtid="{D5CDD505-2E9C-101B-9397-08002B2CF9AE}" pid="24" name="docMatter">
    <vt:lpwstr>0002</vt:lpwstr>
  </property>
  <property fmtid="{D5CDD505-2E9C-101B-9397-08002B2CF9AE}" pid="25" name="docCliMat">
    <vt:lpwstr>153938-0002</vt:lpwstr>
  </property>
  <property fmtid="{D5CDD505-2E9C-101B-9397-08002B2CF9AE}" pid="26" name="docGlobPracGroup">
    <vt:lpwstr/>
  </property>
  <property fmtid="{D5CDD505-2E9C-101B-9397-08002B2CF9AE}" pid="27" name="docGlobSectGroup">
    <vt:lpwstr/>
  </property>
  <property fmtid="{D5CDD505-2E9C-101B-9397-08002B2CF9AE}" pid="28" name="docOrganisation">
    <vt:lpwstr/>
  </property>
  <property fmtid="{D5CDD505-2E9C-101B-9397-08002B2CF9AE}" pid="29" name="docId">
    <vt:lpwstr>DAC9883266</vt:lpwstr>
  </property>
  <property fmtid="{D5CDD505-2E9C-101B-9397-08002B2CF9AE}" pid="30" name="docVersion">
    <vt:lpwstr>8</vt:lpwstr>
  </property>
  <property fmtid="{D5CDD505-2E9C-101B-9397-08002B2CF9AE}" pid="31" name="docIdVer">
    <vt:lpwstr>DAC9883266/8</vt:lpwstr>
  </property>
  <property fmtid="{D5CDD505-2E9C-101B-9397-08002B2CF9AE}" pid="32" name="docDesc">
    <vt:lpwstr>Beilage 1 D 2_11 Kalkulation Schnirchgasse - Arsenal</vt:lpwstr>
  </property>
  <property fmtid="{D5CDD505-2E9C-101B-9397-08002B2CF9AE}" pid="33" name="operClass">
    <vt:lpwstr>Fee Earner</vt:lpwstr>
  </property>
  <property fmtid="{D5CDD505-2E9C-101B-9397-08002B2CF9AE}" pid="34" name="authClass">
    <vt:lpwstr>Fee Earner</vt:lpwstr>
  </property>
</Properties>
</file>